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Default Extension="vml" ContentType="application/vnd.openxmlformats-officedocument.vmlDrawing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0" windowWidth="15480" windowHeight="10305" tabRatio="601" firstSheet="87" activeTab="100"/>
  </bookViews>
  <sheets>
    <sheet name="Амур 1" sheetId="1" state="hidden" r:id="rId1"/>
    <sheet name="БУЮКЛЫ 78" sheetId="2" r:id="rId2"/>
    <sheet name="Амур 1 год" sheetId="3" r:id="rId3"/>
    <sheet name=" Амур 4" sheetId="4" state="hidden" r:id="rId4"/>
    <sheet name="Амур 4 год" sheetId="5" r:id="rId5"/>
    <sheet name="Амур 6" sheetId="6" state="hidden" r:id="rId6"/>
    <sheet name="Амур 6 год" sheetId="7" r:id="rId7"/>
    <sheet name=" Амур 29" sheetId="8" state="hidden" r:id="rId8"/>
    <sheet name="Амур 29 год" sheetId="9" r:id="rId9"/>
    <sheet name=" Амур 65" sheetId="10" state="hidden" r:id="rId10"/>
    <sheet name="Амур 65 год" sheetId="11" r:id="rId11"/>
    <sheet name=" Дзер 22" sheetId="12" state="hidden" r:id="rId12"/>
    <sheet name="Дзер, 22 год" sheetId="13" r:id="rId13"/>
    <sheet name=" Дзер 38" sheetId="14" state="hidden" r:id="rId14"/>
    <sheet name="Дзер 38 год" sheetId="15" r:id="rId15"/>
    <sheet name=" Дзер 40" sheetId="16" state="hidden" r:id="rId16"/>
    <sheet name="ДЗ 40 9 мес" sheetId="17" state="hidden" r:id="rId17"/>
    <sheet name="Дзерж 40" sheetId="18" r:id="rId18"/>
    <sheet name="Ж.Дор 20 год" sheetId="19" r:id="rId19"/>
    <sheet name="К Мар 25" sheetId="20" state="hidden" r:id="rId20"/>
    <sheet name=" К Мар 27" sheetId="21" state="hidden" r:id="rId21"/>
    <sheet name="К мар 25 год" sheetId="22" r:id="rId22"/>
    <sheet name="к.м.27 2012г" sheetId="23" r:id="rId23"/>
    <sheet name=" К Мар 29" sheetId="24" state="hidden" r:id="rId24"/>
    <sheet name="КМар 29" sheetId="25" r:id="rId25"/>
    <sheet name=" К Мар 31" sheetId="26" state="hidden" r:id="rId26"/>
    <sheet name="КМар 31 год" sheetId="27" r:id="rId27"/>
    <sheet name=" Ком пр 74" sheetId="28" state="hidden" r:id="rId28"/>
    <sheet name="Ком.пр 74 год" sheetId="29" r:id="rId29"/>
    <sheet name="Кур 33а" sheetId="30" state="hidden" r:id="rId30"/>
    <sheet name=" Кур 34" sheetId="31" state="hidden" r:id="rId31"/>
    <sheet name=" Кур 43 А" sheetId="32" state="hidden" r:id="rId32"/>
    <sheet name="Кур.34 год" sheetId="33" r:id="rId33"/>
    <sheet name="Кур.43 А год" sheetId="34" r:id="rId34"/>
    <sheet name=" Кур 52" sheetId="35" state="hidden" r:id="rId35"/>
    <sheet name=" Кур 59" sheetId="36" state="hidden" r:id="rId36"/>
    <sheet name="Кур 59 год" sheetId="37" r:id="rId37"/>
    <sheet name=" Лен.125" sheetId="38" state="hidden" r:id="rId38"/>
    <sheet name=" Лен 127" sheetId="39" state="hidden" r:id="rId39"/>
    <sheet name="Лен 125 год" sheetId="40" r:id="rId40"/>
    <sheet name="Лен 127 год" sheetId="41" r:id="rId41"/>
    <sheet name=" Лен.171" sheetId="42" state="hidden" r:id="rId42"/>
    <sheet name="Лен 171 год" sheetId="43" r:id="rId43"/>
    <sheet name=" Лен 182" sheetId="44" state="hidden" r:id="rId44"/>
    <sheet name="ЛЕн 182" sheetId="45" r:id="rId45"/>
    <sheet name=" Мира 88" sheetId="46" state="hidden" r:id="rId46"/>
    <sheet name="Лен 198" sheetId="47" r:id="rId47"/>
    <sheet name="Нев. 27" sheetId="48" state="hidden" r:id="rId48"/>
    <sheet name="Мира 88 год" sheetId="49" r:id="rId49"/>
    <sheet name="Нев. 34б" sheetId="50" state="hidden" r:id="rId50"/>
    <sheet name="Нев.34б год" sheetId="51" r:id="rId51"/>
    <sheet name="Нев.34в год" sheetId="52" r:id="rId52"/>
    <sheet name="Нев 36" sheetId="53" state="hidden" r:id="rId53"/>
    <sheet name="Нев 42" sheetId="54" state="hidden" r:id="rId54"/>
    <sheet name="Нев.42 год" sheetId="55" r:id="rId55"/>
    <sheet name="Нев. 53" sheetId="56" state="hidden" r:id="rId56"/>
    <sheet name="Нев. 58" sheetId="57" state="hidden" r:id="rId57"/>
    <sheet name="Нев. 58 год" sheetId="58" r:id="rId58"/>
    <sheet name="Поп. 98" sheetId="59" state="hidden" r:id="rId59"/>
    <sheet name="Поп 98 год" sheetId="60" r:id="rId60"/>
    <sheet name="Поп, 102" sheetId="61" state="hidden" r:id="rId61"/>
    <sheet name="Поп. 102 год" sheetId="62" r:id="rId62"/>
    <sheet name="Поп,104" sheetId="63" state="hidden" r:id="rId63"/>
    <sheet name="Поп.104 год" sheetId="64" r:id="rId64"/>
    <sheet name="поп,106" sheetId="65" state="hidden" r:id="rId65"/>
    <sheet name="Поп,108" sheetId="66" state="hidden" r:id="rId66"/>
    <sheet name="Поп.106 год" sheetId="67" r:id="rId67"/>
    <sheet name="Поп 108 год" sheetId="68" r:id="rId68"/>
    <sheet name="Поп,110" sheetId="69" state="hidden" r:id="rId69"/>
    <sheet name="Поп.110 год" sheetId="70" r:id="rId70"/>
    <sheet name="Пуш.57" sheetId="71" state="hidden" r:id="rId71"/>
    <sheet name="Пуш.  57 год" sheetId="72" r:id="rId72"/>
    <sheet name="Сах. 29" sheetId="73" state="hidden" r:id="rId73"/>
    <sheet name="Сах.29 год" sheetId="74" r:id="rId74"/>
    <sheet name="Сах. 31" sheetId="75" state="hidden" r:id="rId75"/>
    <sheet name="Сах, 31 год" sheetId="76" r:id="rId76"/>
    <sheet name="сах. 33" sheetId="77" state="hidden" r:id="rId77"/>
    <sheet name="Сах зз год" sheetId="78" r:id="rId78"/>
    <sheet name="Сах.39" sheetId="79" state="hidden" r:id="rId79"/>
    <sheet name="Сах. 39 год" sheetId="80" r:id="rId80"/>
    <sheet name="Сах. 41" sheetId="81" state="hidden" r:id="rId81"/>
    <sheet name="Сах 45" sheetId="82" state="hidden" r:id="rId82"/>
    <sheet name="Сах 41 год" sheetId="83" r:id="rId83"/>
    <sheet name="Сах. 45 год" sheetId="84" r:id="rId84"/>
    <sheet name="Сах. 45-а" sheetId="85" state="hidden" r:id="rId85"/>
    <sheet name="Сах. 45-а год" sheetId="86" r:id="rId86"/>
    <sheet name="Сах. 49" sheetId="87" state="hidden" r:id="rId87"/>
    <sheet name="Сах.49 год" sheetId="88" r:id="rId88"/>
    <sheet name="Сах. 51" sheetId="89" state="hidden" r:id="rId89"/>
    <sheet name="Сах.51 год" sheetId="90" r:id="rId90"/>
    <sheet name="Сах. 55" sheetId="91" state="hidden" r:id="rId91"/>
    <sheet name="Сах.55 год" sheetId="92" r:id="rId92"/>
    <sheet name="Хаб. 42" sheetId="93" state="hidden" r:id="rId93"/>
    <sheet name="Хаб.32а год" sheetId="94" r:id="rId94"/>
    <sheet name="Хаб.42 год" sheetId="95" r:id="rId95"/>
    <sheet name="Хаб.44" sheetId="96" state="hidden" r:id="rId96"/>
    <sheet name="Хаб.44 год" sheetId="97" r:id="rId97"/>
    <sheet name="Хаб. 58" sheetId="98" state="hidden" r:id="rId98"/>
    <sheet name="Хаб.58 год" sheetId="99" r:id="rId99"/>
    <sheet name="Хаб. 60" sheetId="100" state="hidden" r:id="rId100"/>
    <sheet name="Хаб.60 год" sheetId="101" r:id="rId101"/>
    <sheet name="Чех. 1" sheetId="102" state="hidden" r:id="rId102"/>
    <sheet name="Чех.1 год" sheetId="103" r:id="rId103"/>
    <sheet name="Чех 2 а" sheetId="104" state="hidden" r:id="rId104"/>
    <sheet name="Чех, 2-а год" sheetId="105" r:id="rId105"/>
    <sheet name="Чех. 7" sheetId="106" state="hidden" r:id="rId106"/>
    <sheet name="Чех 7, год 2012" sheetId="107" r:id="rId107"/>
    <sheet name="Чех.7 11 " sheetId="108" state="hidden" r:id="rId108"/>
    <sheet name="Чех. 31" sheetId="109" state="hidden" r:id="rId109"/>
    <sheet name="Чех.29" sheetId="110" r:id="rId110"/>
    <sheet name="Чех.31 год" sheetId="111" r:id="rId111"/>
    <sheet name="Чех. 43" sheetId="112" state="hidden" r:id="rId112"/>
    <sheet name="Чех.43-а год" sheetId="113" r:id="rId113"/>
    <sheet name="Чех. 43-а" sheetId="114" state="hidden" r:id="rId114"/>
    <sheet name="Чех. 66" sheetId="115" state="hidden" r:id="rId115"/>
    <sheet name="Чех.66 год" sheetId="116" r:id="rId116"/>
    <sheet name="Чех.66-а год" sheetId="117" r:id="rId117"/>
    <sheet name="Чех. 68" sheetId="118" state="hidden" r:id="rId118"/>
    <sheet name="Чех.68 год" sheetId="119" r:id="rId119"/>
    <sheet name="Чех. 68-а" sheetId="120" state="hidden" r:id="rId120"/>
    <sheet name="Чех.68-а год" sheetId="121" r:id="rId121"/>
    <sheet name="Чех. 70" sheetId="122" state="hidden" r:id="rId122"/>
    <sheet name="Чех.70 год" sheetId="123" r:id="rId123"/>
    <sheet name="Чех. 72" sheetId="124" state="hidden" r:id="rId124"/>
    <sheet name="Чех.72 год" sheetId="125" r:id="rId125"/>
    <sheet name="Чех.72-а год" sheetId="126" r:id="rId126"/>
  </sheets>
  <externalReferences>
    <externalReference r:id="rId129"/>
  </externalReferences>
  <definedNames/>
  <calcPr fullCalcOnLoad="1"/>
</workbook>
</file>

<file path=xl/comments37.xml><?xml version="1.0" encoding="utf-8"?>
<comments xmlns="http://schemas.openxmlformats.org/spreadsheetml/2006/main">
  <authors>
    <author>user</author>
  </authors>
  <commentList>
    <comment ref="A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user</author>
  </authors>
  <commentList>
    <comment ref="A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user</author>
  </authors>
  <commentList>
    <comment ref="A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<sst xmlns="http://schemas.openxmlformats.org/spreadsheetml/2006/main" count="11114" uniqueCount="1026">
  <si>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</si>
  <si>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Благоустройство</t>
  </si>
  <si>
    <t>Вентиляция</t>
  </si>
  <si>
    <t>ППр поэтажных щитков</t>
  </si>
  <si>
    <t>щит.</t>
  </si>
  <si>
    <t>(замена небольших участков внутренних систем ХВС)</t>
  </si>
  <si>
    <t>м.п. труб</t>
  </si>
  <si>
    <t>2 РАБОТЫ ПО  ТЕХНИЧЕСКОМУ СОДЕРЖАНИЮ И ТЕКУЩЕМУ РЕМОНТУ:</t>
  </si>
  <si>
    <t>2.1 Системы центрального отопления</t>
  </si>
  <si>
    <t>прочие работы по содержанию системы ЦО</t>
  </si>
  <si>
    <t>2.2 Конструктивных элементов здания</t>
  </si>
  <si>
    <t>Работы по содержанию кровли, мелкий ремонт кровли</t>
  </si>
  <si>
    <t>2.4 Системы электрооборудования</t>
  </si>
  <si>
    <t>Удаление с кровли снега и наледи</t>
  </si>
  <si>
    <t>Уборка лестничных клеток</t>
  </si>
  <si>
    <t xml:space="preserve">Вывоз бытового мусора и КГМ </t>
  </si>
  <si>
    <t>Содержание придомовой территории</t>
  </si>
  <si>
    <t>Расчистка в/домовых территорий от снега,вывоз снега,мусора</t>
  </si>
  <si>
    <t>1. САНИТАРНОЕ СОДЕРЖАНИЕ ДОМА :</t>
  </si>
  <si>
    <t>Очистка кровли от снега и наледи</t>
  </si>
  <si>
    <t>2.1.Конструктивные элементы зданий</t>
  </si>
  <si>
    <t>2.2 Систем ХВС</t>
  </si>
  <si>
    <t>Прочие работы ( осмотры ) систем ХВС</t>
  </si>
  <si>
    <t>2.3 Систем центрального отопления</t>
  </si>
  <si>
    <t>Опрессовка систем отопления здания</t>
  </si>
  <si>
    <t>Ликвидация воздушных пробок ( подвалы )</t>
  </si>
  <si>
    <t>Осмотры систем отопления</t>
  </si>
  <si>
    <t>2.4 Систем канализации</t>
  </si>
  <si>
    <t>текущее</t>
  </si>
  <si>
    <t>капитальный ремонт</t>
  </si>
  <si>
    <t xml:space="preserve">капитальный </t>
  </si>
  <si>
    <t xml:space="preserve">текущее </t>
  </si>
  <si>
    <t>капитальный</t>
  </si>
  <si>
    <t>5 раза в неделю</t>
  </si>
  <si>
    <t>Всего оплачено жильцами по дому:</t>
  </si>
  <si>
    <t>Вывоз мусора</t>
  </si>
  <si>
    <t>Всего:</t>
  </si>
  <si>
    <t>Фактические расходы ООО" ЖЭУ-3"</t>
  </si>
  <si>
    <t>о выполнении ООО «ЖЭУ- 3 »</t>
  </si>
  <si>
    <t>(замена вентилей системы отопления)</t>
  </si>
  <si>
    <t>шт</t>
  </si>
  <si>
    <t>(смена сгонов, муфт и прочей арматуры отопления)</t>
  </si>
  <si>
    <t>(установка кранов для спуска воздуха из системы)</t>
  </si>
  <si>
    <t xml:space="preserve"> дверей и чердачных люков)</t>
  </si>
  <si>
    <t xml:space="preserve">(смена оконных и дверных приборов (в т.ч. Запирающих устройств </t>
  </si>
  <si>
    <t>(прочие работы по содержаниюоконных и дверных заполнений)</t>
  </si>
  <si>
    <t>Начислено   собственникам нежилых помещений</t>
  </si>
  <si>
    <t>Оплачено собственниками нежилых помещений</t>
  </si>
  <si>
    <t>Байшева И.А.</t>
  </si>
  <si>
    <t>за 1 полугодие 2011 года</t>
  </si>
  <si>
    <t>1000 м2</t>
  </si>
  <si>
    <t>Работы по содержанию системы ГВС</t>
  </si>
  <si>
    <t>м.п.</t>
  </si>
  <si>
    <t>Работы по содержанию системы теплоснабжения</t>
  </si>
  <si>
    <t>ППР поэтажных щитков</t>
  </si>
  <si>
    <r>
      <t xml:space="preserve">по   содержанию и текущему ремонту </t>
    </r>
    <r>
      <rPr>
        <b/>
        <sz val="14"/>
        <rFont val="Times New Roman"/>
        <family val="1"/>
      </rPr>
      <t>общего   имущества дома за 1 полугодие 2011 год</t>
    </r>
  </si>
  <si>
    <t>за 9 месяцев 2011 года</t>
  </si>
  <si>
    <r>
      <t xml:space="preserve">по   содержанию и текущему ремонту </t>
    </r>
    <r>
      <rPr>
        <b/>
        <sz val="12"/>
        <rFont val="Times New Roman"/>
        <family val="1"/>
      </rPr>
      <t>общего   имущества дома за девять месяцев 2011 год</t>
    </r>
  </si>
  <si>
    <t>Уборка мусоропровода</t>
  </si>
  <si>
    <t>Дератизация</t>
  </si>
  <si>
    <t>Замена разбитых стекол</t>
  </si>
  <si>
    <t>Смена вентилей,муфт, сгонов и пр.арматуры ГВС</t>
  </si>
  <si>
    <t>Замена небольших участков внутр.систем отоплен</t>
  </si>
  <si>
    <t>м,п,труб</t>
  </si>
  <si>
    <t>Замена радиаторов отопления</t>
  </si>
  <si>
    <t xml:space="preserve">секц, </t>
  </si>
  <si>
    <t>ППР электрощитовой</t>
  </si>
  <si>
    <t>Ликвидация  воздушных пробок в системе отопления</t>
  </si>
  <si>
    <t>текущий</t>
  </si>
  <si>
    <t>1раз в день во время гололеда</t>
  </si>
  <si>
    <t xml:space="preserve">по адресу:    ул.  Хабаровская, 32А </t>
  </si>
  <si>
    <t>секц, п.м</t>
  </si>
  <si>
    <t>Смена оконных приборов</t>
  </si>
  <si>
    <t>Осмотр системы водоснабжения</t>
  </si>
  <si>
    <t>1000м2 подв.пом</t>
  </si>
  <si>
    <t>Замена небольших участков внутр.систем ХВС</t>
  </si>
  <si>
    <t>Устранение течи гибких подводок</t>
  </si>
  <si>
    <t>Смена вентилей,муфт, сгонов и пр.арматуры ХВС</t>
  </si>
  <si>
    <t>Замена задвижек ХВС</t>
  </si>
  <si>
    <t>Ремонт аварийных вентилей ГВС в квартире</t>
  </si>
  <si>
    <t>Подчеканка канализационныхстыков</t>
  </si>
  <si>
    <t>стык</t>
  </si>
  <si>
    <t>Осмотр системы канализации здания</t>
  </si>
  <si>
    <t>Набивка сальников</t>
  </si>
  <si>
    <t>плановая ревизия задвижек отопления</t>
  </si>
  <si>
    <t>Смена вентилей,муфт, сгонов и пр.арматуры отопления</t>
  </si>
  <si>
    <t>установка кранов для спуска воздуха</t>
  </si>
  <si>
    <t>Опрессовка системы отопления здания</t>
  </si>
  <si>
    <t>100м труб</t>
  </si>
  <si>
    <t>плановая ревизия вентилей отопления</t>
  </si>
  <si>
    <t>Замена предохранителей</t>
  </si>
  <si>
    <t>ТО лифта</t>
  </si>
  <si>
    <t xml:space="preserve">                       Гераськин Д.Д.</t>
  </si>
  <si>
    <t>Обслуживание питающей линии</t>
  </si>
  <si>
    <t>Техническое обслуживание эл.оборудования</t>
  </si>
  <si>
    <t>прочистка трубопроводов водоотведения,засоров трубопровода мест общ.пол.ь</t>
  </si>
  <si>
    <t>5. Содержание мусоропровода</t>
  </si>
  <si>
    <t>Уборка кабины лифта</t>
  </si>
  <si>
    <t>Консервация , расконсервация систем центрального отопления</t>
  </si>
  <si>
    <t>Проведение тех.осмотров мест общего пользования конструктив элементов зданий</t>
  </si>
  <si>
    <t>3 раз(а) в неделю</t>
  </si>
  <si>
    <t>по адресу:    ул.  Дзержинского, 38</t>
  </si>
  <si>
    <t>по догов.</t>
  </si>
  <si>
    <t>за 2011 год</t>
  </si>
  <si>
    <r>
      <t xml:space="preserve">по   содержанию и текущему ремонту </t>
    </r>
    <r>
      <rPr>
        <b/>
        <sz val="14"/>
        <rFont val="Times New Roman"/>
        <family val="1"/>
      </rPr>
      <t>общего   имущества дома за 2011 год</t>
    </r>
  </si>
  <si>
    <t>Уборка придомовой территории</t>
  </si>
  <si>
    <t>2 раз(а) в неделю</t>
  </si>
  <si>
    <t>Мытье подъезда</t>
  </si>
  <si>
    <t>2 раза в год</t>
  </si>
  <si>
    <r>
      <t xml:space="preserve">Смена оконных и дверных приборов </t>
    </r>
    <r>
      <rPr>
        <sz val="8"/>
        <rFont val="Arial"/>
        <family val="2"/>
      </rPr>
      <t>(запирающих устройств дверей, чердаков)</t>
    </r>
  </si>
  <si>
    <t>Ликвидацияя воздушных пробок в системе отопления</t>
  </si>
  <si>
    <t>пробка</t>
  </si>
  <si>
    <t>Замена задвижек отопления</t>
  </si>
  <si>
    <t>Замена автоматических выключателей</t>
  </si>
  <si>
    <t>Посыпка песком территории</t>
  </si>
  <si>
    <t>3 раза в год</t>
  </si>
  <si>
    <t xml:space="preserve">по адресу:      ул. Антона  Буюклы, 78 </t>
  </si>
  <si>
    <t>САНИТАРНОЕ СОДЕРЖАНИЕ ДОМА :</t>
  </si>
  <si>
    <t>по адресу:    ул.  Железнодорожная , 20</t>
  </si>
  <si>
    <t>текущий ремонт</t>
  </si>
  <si>
    <t xml:space="preserve"> РАБОТЫ ПО  ТЕХНИЧЕСКОМУ СОДЕРЖАНИЮ:</t>
  </si>
  <si>
    <t>Гидравлические испытанияразводящих сетей ЦО и ГВС</t>
  </si>
  <si>
    <t>Тех.ослужив.эл.оборудования,определение вида тех.состоян.эл.оборудования</t>
  </si>
  <si>
    <t>Измерение сопротивления изоляции,контрольопрессованных, болтовых</t>
  </si>
  <si>
    <t>контактных соединений, измерение переходных сопротивлений, контроль</t>
  </si>
  <si>
    <t>контактных соединений сборных и соединительных шин, выполн.сваркой.</t>
  </si>
  <si>
    <t>Ремонт участка канализации</t>
  </si>
  <si>
    <t>Прочие работы по содержанию  оконных и дверных заполнений</t>
  </si>
  <si>
    <t>Прочие работы по внутренней отделке помещения</t>
  </si>
  <si>
    <t>Смена окрнных и дверных приборов , в т.ч. Запирающих устройств дверей и чердачных люков )</t>
  </si>
  <si>
    <t>ремонт и ревизия вентилей отопления</t>
  </si>
  <si>
    <t xml:space="preserve">Прочие работы по содержанию системы ЦО  </t>
  </si>
  <si>
    <t>Замена вентилей ЦО</t>
  </si>
  <si>
    <t>Смена участка трубв ХВС</t>
  </si>
  <si>
    <t>2.2 Системы ценрального отопления :</t>
  </si>
  <si>
    <t xml:space="preserve">Всего : </t>
  </si>
  <si>
    <t>Устрвнение течи гибких подводок</t>
  </si>
  <si>
    <t>Очистка в/домовых тнрриторий от снега, вывоз снега и мусора</t>
  </si>
  <si>
    <t>Замена участкавнутренней системы отопления</t>
  </si>
  <si>
    <t>Смена вентилей системы ГВС</t>
  </si>
  <si>
    <t>100м</t>
  </si>
  <si>
    <t>4. материалы</t>
  </si>
  <si>
    <t>3 Ремонтно-аварийное обслуживание</t>
  </si>
  <si>
    <t>Смена участка трубы ХВС</t>
  </si>
  <si>
    <t>Смена оконных и дверных приборов ( в т.ч. Запирающих устройств и чердачных люков )</t>
  </si>
  <si>
    <t>Прочие работы по содержанию балконов, лестниц, крылец</t>
  </si>
  <si>
    <t xml:space="preserve">Всего по текущему содержанию и ремонту  </t>
  </si>
  <si>
    <t>2. РАБОТЫ ПО  ТЕХНИЧЕСКОМУ СОДЕРЖАНИЮ И ТЕКУЩЕМУ СОДЕРЖАНИЮ:</t>
  </si>
  <si>
    <t>5. Расходв на управление</t>
  </si>
  <si>
    <t xml:space="preserve">Смена оконных и дверных приборов ( в т.ч. Запирающих устройств дверей и чердачных люков ) </t>
  </si>
  <si>
    <t>Ремонт участка ГВС</t>
  </si>
  <si>
    <t>100шт</t>
  </si>
  <si>
    <t>Очиска в/территорий от снега, вывоз снега и мусора</t>
  </si>
  <si>
    <t>2.6 Система электрооборудования</t>
  </si>
  <si>
    <t xml:space="preserve">Мелкий ремонт ( замена ) электропроводки </t>
  </si>
  <si>
    <t>Ремонт участка системы ГВС</t>
  </si>
  <si>
    <t>Всего по текущему обслуживанию и ремонту</t>
  </si>
  <si>
    <t xml:space="preserve">Гидравлические испытания тепловых пунктов </t>
  </si>
  <si>
    <t>Прочие работы по содержанию системыХВС</t>
  </si>
  <si>
    <t xml:space="preserve"> 2. РАБОТЫ ПО  ТЕХНИЧЕСКОМУ СОДЕРЖАНИЮ И ТЕКУЩЕМУ РЕМОНТУ:</t>
  </si>
  <si>
    <t>Прочие работы по содержанию стен и фасадов, внутренней отделке помещений</t>
  </si>
  <si>
    <t>Укрепление санитарно-технических приборов</t>
  </si>
  <si>
    <t>2.5 Система канализации</t>
  </si>
  <si>
    <t xml:space="preserve">Прочие работы по содержанию канализации </t>
  </si>
  <si>
    <t>Смена оконных и дверных приборов ( в т.ч запирающих устройств дверей и чердачных люков )</t>
  </si>
  <si>
    <t>Смена вентилей системы ХВС</t>
  </si>
  <si>
    <t xml:space="preserve">Подчеканка канализационных стыков </t>
  </si>
  <si>
    <t>Прочие работы по системе ЦО</t>
  </si>
  <si>
    <t xml:space="preserve"> системы водоснабжения</t>
  </si>
  <si>
    <t>Осмотр  канализационных колодцев</t>
  </si>
  <si>
    <t>колодецу</t>
  </si>
  <si>
    <t>Работы по содержанию колодцев</t>
  </si>
  <si>
    <t>Замена вентилей отопления</t>
  </si>
  <si>
    <t>Ремонт и ревизия вентилей отопления</t>
  </si>
  <si>
    <t>Замена вентилей ХВС</t>
  </si>
  <si>
    <t>Работы по содержанию стен и фасадов</t>
  </si>
  <si>
    <t>Мелкий ремонт лестниц, крылец</t>
  </si>
  <si>
    <t>Работы по содержанию канализации</t>
  </si>
  <si>
    <t>Опорожнение (заполнение) стояка отопления в здании до 5 эт</t>
  </si>
  <si>
    <t>Остаток на конец года : экономия ( - ), перерасход ( + )</t>
  </si>
  <si>
    <t>Директор ООО " ЖЭУ-3 "</t>
  </si>
  <si>
    <t>Директор ООО" ЖЭУ-3 "</t>
  </si>
  <si>
    <t>стояк</t>
  </si>
  <si>
    <t>Работы по содержанию системы ЦО</t>
  </si>
  <si>
    <t>ремонт        руб</t>
  </si>
  <si>
    <t>за  2014год</t>
  </si>
  <si>
    <t xml:space="preserve"> в руб.</t>
  </si>
  <si>
    <t>Очистка в /домовых территорий от снега, вывоз снега и мусора</t>
  </si>
  <si>
    <t xml:space="preserve">Дератизация, Дезинсекция </t>
  </si>
  <si>
    <t>Замена разбитых стекол, остекление фрамуг</t>
  </si>
  <si>
    <t>2.2 Системы ценрального отопления</t>
  </si>
  <si>
    <t>Прочие работы по содержанию системв ЦО</t>
  </si>
  <si>
    <t>2.3 Системы канализации</t>
  </si>
  <si>
    <t>2. РАБОТЫ ПО  ТЕХНИЧЕСКОМУ СОДЕРЖАНИЮ И ТЕКУЩЕМУ РЕМОНТУ :</t>
  </si>
  <si>
    <t>2.1 Конструктивных элементов здания</t>
  </si>
  <si>
    <t>Прочие работы по заполнению оконных и дверных заполнений</t>
  </si>
  <si>
    <t>Прочие работы по содержанию системы канализации</t>
  </si>
  <si>
    <t>Прочие работы по содержанию системы ХВС</t>
  </si>
  <si>
    <t>Смена сгонов, муфт,прочей арматуры отопления</t>
  </si>
  <si>
    <t>Смена сгонов, муфт,прочей арматуры ХВС</t>
  </si>
  <si>
    <t>6 раз в неделю</t>
  </si>
  <si>
    <t>Замена вентилей ХВС, плановая ревизия вентилей ХВС</t>
  </si>
  <si>
    <t xml:space="preserve">Очистка в/домовых территорий от снега, вывоз снега </t>
  </si>
  <si>
    <t>Работы по содержанию кровли,мелкий ремонт кровли</t>
  </si>
  <si>
    <t xml:space="preserve">2.1 Конструктивных элементов здания </t>
  </si>
  <si>
    <t>Смена участка трубы, вентилей ЦО</t>
  </si>
  <si>
    <t>Смена радиатора</t>
  </si>
  <si>
    <t>Ремонт участка системы канализации</t>
  </si>
  <si>
    <t>Смена сгонов, муфт и прочей арматуры ЦО</t>
  </si>
  <si>
    <t>Освещение подвала сантехникам</t>
  </si>
  <si>
    <t>Очистка в/домовых территорий от снега, вывоз снега</t>
  </si>
  <si>
    <t>м.п.труб</t>
  </si>
  <si>
    <t>Подчеканка канализационных стыков</t>
  </si>
  <si>
    <t>Работы по содержанию оконных и дверных заполнений</t>
  </si>
  <si>
    <t>счетчик</t>
  </si>
  <si>
    <t>Работы по содержанию водоснабжения</t>
  </si>
  <si>
    <t>Открытие-закрытие регулирующих органово ГВС (вентелей задвижек).</t>
  </si>
  <si>
    <t>по адресу:      ул. Курильская, 59</t>
  </si>
  <si>
    <t>по адресу:      ул. Курильская, 43А</t>
  </si>
  <si>
    <t>по адресу:      ул. Курильская, 34</t>
  </si>
  <si>
    <t>Прочистка проводки ХВС</t>
  </si>
  <si>
    <t>Замена вентилей ГВС</t>
  </si>
  <si>
    <t>Замена небольших участков внутр.систем отопления</t>
  </si>
  <si>
    <t>секц,</t>
  </si>
  <si>
    <t>Мелкий ремонт изоляции трубопровода отопления</t>
  </si>
  <si>
    <t>Замена участков внутренней системы отопления</t>
  </si>
  <si>
    <t>Работы по ремонту оконных и дверных заполнений</t>
  </si>
  <si>
    <t>по адресу:      ул. Коммунистический проспект, 74</t>
  </si>
  <si>
    <t>Работы по ремонту системы водоснабжения</t>
  </si>
  <si>
    <t>м2 кровли</t>
  </si>
  <si>
    <t>Мелкий ремонт дверных заполнений</t>
  </si>
  <si>
    <t>Промывка канализационных сетей здания</t>
  </si>
  <si>
    <r>
      <t xml:space="preserve">Замена электроустановочных изделий (розеток. </t>
    </r>
    <r>
      <rPr>
        <sz val="10"/>
        <rFont val="Arial"/>
        <family val="2"/>
      </rPr>
      <t>выключателей)</t>
    </r>
  </si>
  <si>
    <t>Дезинсекция</t>
  </si>
  <si>
    <t>Плановая ревизия задвижек отопления</t>
  </si>
  <si>
    <t>Замена небольших участков внутренних систем ХВС</t>
  </si>
  <si>
    <t>Регулировка смывных бочков</t>
  </si>
  <si>
    <t>Смена муфт, сгонов и пр.арматуры ГВС</t>
  </si>
  <si>
    <t>Смена вентилей ХВС</t>
  </si>
  <si>
    <t>Замена вентилей системы отопления</t>
  </si>
  <si>
    <t>Ремонт и ревизия задвижек системы отопления</t>
  </si>
  <si>
    <t>Мелкий ремонт шиферной кровли</t>
  </si>
  <si>
    <t>Осмотр системы водоснабжения здания</t>
  </si>
  <si>
    <t>Очистка в/домовой тнрритории от снега, вывоз снега и мусора</t>
  </si>
  <si>
    <t>дератизация и дезинсекция</t>
  </si>
  <si>
    <t>Замена небольших участков внутр.системы отопления</t>
  </si>
  <si>
    <t>Очистека в/домовой территории от снега,вывоз снега и мусора</t>
  </si>
  <si>
    <t>2.  РАБОТЫ ПО  ТЕХНИЧЕСКОМУ СОДЕРЖАНИЮ И ТЕКЩЕМУ РЕМОНТУ:</t>
  </si>
  <si>
    <t>2.3  Системы водоснабжения</t>
  </si>
  <si>
    <t>промывка канализационных сетей здания</t>
  </si>
  <si>
    <t>2.5  Системы электрооборудования</t>
  </si>
  <si>
    <t xml:space="preserve">3.Ремонтно-аварийное обслуживание </t>
  </si>
  <si>
    <t>2.  РАБОТЫ ПО  ТЕХНИЧЕСКОМУ СОДЕРЖАНИЮ И ТЕКУЩЕМУ СОДЕРЖАНИЮ:</t>
  </si>
  <si>
    <t xml:space="preserve">прочие работы по содержания оконных и дверных заполнений </t>
  </si>
  <si>
    <t>прочие работы по содержания стен и фасадов</t>
  </si>
  <si>
    <t>смена вентилей системы ЦО</t>
  </si>
  <si>
    <t>Смена муфт, сгонов и пр.арматуры ЦО</t>
  </si>
  <si>
    <t>Смена подвода трубы на радиатор</t>
  </si>
  <si>
    <t>щт</t>
  </si>
  <si>
    <t>Смена сгонов, муфт и прочей арматурв системы ГВС</t>
  </si>
  <si>
    <t>Прорчие работы по содержанию системы ГВС</t>
  </si>
  <si>
    <t>2.6 Системы электооборудования</t>
  </si>
  <si>
    <t xml:space="preserve">Всего по текущему содержанию и ремонту </t>
  </si>
  <si>
    <t xml:space="preserve"> Удаление с крыш снега и наледи</t>
  </si>
  <si>
    <t>Смена окрнных и дверных приборов ( в т.ч запирающих устройсив дверей и чердачных люков )</t>
  </si>
  <si>
    <t>Ревизия и ремонт вентилей системы отопления</t>
  </si>
  <si>
    <t>Ремонт аварийных вентилей ХВС</t>
  </si>
  <si>
    <t>прочие работы по содержанию системы водоснабжения</t>
  </si>
  <si>
    <t>Замена  ламп внутреннего освещения</t>
  </si>
  <si>
    <t>ремонт розеток, выключателей</t>
  </si>
  <si>
    <t>Очистка в/домовых территорий от снега, вывох снега и мусора</t>
  </si>
  <si>
    <t>Побелка потолков</t>
  </si>
  <si>
    <t>2.2 Системы канализации</t>
  </si>
  <si>
    <t>Очистка в/домовых территорий от снега,вывоз снегна, мусора</t>
  </si>
  <si>
    <t>Ремонт входного крыльца</t>
  </si>
  <si>
    <t>Прочие работы по содержанию балконов,лестниц,крвлец</t>
  </si>
  <si>
    <t>Проверка состояния продухов в цоколях здания</t>
  </si>
  <si>
    <t>Прочие работы ро содержанию системы отопления</t>
  </si>
  <si>
    <t>Заменв вентилей системы отопления</t>
  </si>
  <si>
    <t>2.3 Система ГВС</t>
  </si>
  <si>
    <t>Промывка канализационных сетей в здании</t>
  </si>
  <si>
    <t>2.5 Система электрооборудования</t>
  </si>
  <si>
    <t>Всего по текущему обслуживанию и ремонту:</t>
  </si>
  <si>
    <t>Смена участка трубы водоснабжения</t>
  </si>
  <si>
    <t>Косметический ремонт общего коридора</t>
  </si>
  <si>
    <t>Прочие работы по ремонту стен и фасадов</t>
  </si>
  <si>
    <t>утепление межпанельных швов, герметизация стыков</t>
  </si>
  <si>
    <t>м.п.шва</t>
  </si>
  <si>
    <t>Уборка лестничных клеток,</t>
  </si>
  <si>
    <t>Замена небольших участков внутренних систем ЦО</t>
  </si>
  <si>
    <t>Смена участка ливнестока</t>
  </si>
  <si>
    <t>Опорожнение (заполнение) стояка ХВС</t>
  </si>
  <si>
    <t>Ремонт аварийных вентилей ХВС в квартире</t>
  </si>
  <si>
    <t>Опорожнение (заполнение) стояка ЦО</t>
  </si>
  <si>
    <t>Замена стенового или потолочного патрона</t>
  </si>
  <si>
    <t>патрон</t>
  </si>
  <si>
    <t>Замена  участков внутр.систем отопления</t>
  </si>
  <si>
    <t>Ремонт ВРУ в эл.щитовых</t>
  </si>
  <si>
    <t>Работы по внутренней отделке помещений</t>
  </si>
  <si>
    <t>Смена сгонов, муфт и прочей арматуры отопления</t>
  </si>
  <si>
    <t>Смена сгонов, муфт и прочей арматуры ХВС</t>
  </si>
  <si>
    <t>Заменга светильников</t>
  </si>
  <si>
    <t>Замена аварийных вентилей ХВС в квартире</t>
  </si>
  <si>
    <t>Ремонт и ревизия вентилей ХВС</t>
  </si>
  <si>
    <t>по адресу:    ул.  Cахалинская, 29</t>
  </si>
  <si>
    <t>по адресу:    ул.  Cахалинская, 31</t>
  </si>
  <si>
    <t>по адресу:    ул.  Cахалинская, 33</t>
  </si>
  <si>
    <t>по адресу:    ул.  Cахалинская, 39</t>
  </si>
  <si>
    <t>по адресу:    ул.  Cахалинская, 41</t>
  </si>
  <si>
    <t>по адресу:    ул.  Cахалинская, 45</t>
  </si>
  <si>
    <t>по адресу:    ул.  Cахалинская, 45А</t>
  </si>
  <si>
    <t>по адресу:    ул.  Cахалинская, 49</t>
  </si>
  <si>
    <t>по адресу:    ул.  Cахалинская, 51</t>
  </si>
  <si>
    <t>по адресу:    ул.  Cахалинская, 55</t>
  </si>
  <si>
    <t>Снятие показаний счетчика</t>
  </si>
  <si>
    <t>Замена канализационных труб</t>
  </si>
  <si>
    <t>Ревизия водопроводных кранов и смесителей</t>
  </si>
  <si>
    <t>по адресу:      ул. Ленина, 182</t>
  </si>
  <si>
    <t>Замена небольших участков внутренних систем ГВС</t>
  </si>
  <si>
    <t>Мелкий ремонт эл.проводки</t>
  </si>
  <si>
    <t>Замена осветительной эл.проводки</t>
  </si>
  <si>
    <t>Замена силовой эл.проводки</t>
  </si>
  <si>
    <t xml:space="preserve">по адресу:      ул. Ленина, 125 </t>
  </si>
  <si>
    <t>Работы по содержанию балконов,лестниц,крылец</t>
  </si>
  <si>
    <t>Замена небольших участков внутренних систем отопления</t>
  </si>
  <si>
    <t xml:space="preserve">по адресу:      ул. Ленина, 127 </t>
  </si>
  <si>
    <t>по адресу:      ул. Ленина, 171</t>
  </si>
  <si>
    <t>Ликвидация воздушных пробок в системе отопления</t>
  </si>
  <si>
    <t>секц.</t>
  </si>
  <si>
    <t>по адресу:    ул.  Чехова, 66</t>
  </si>
  <si>
    <t>по адресу:    ул.  Чехова, 66А</t>
  </si>
  <si>
    <t>по адресу:    ул.  Чехова, 68</t>
  </si>
  <si>
    <t>по адресу:    ул.  Чехова, 68А</t>
  </si>
  <si>
    <t>по адресу:    ул.  Чехова, 70</t>
  </si>
  <si>
    <t>по адресу:    ул.  Чехова, 72</t>
  </si>
  <si>
    <t>по адресу:    ул.  Чехова, 72А</t>
  </si>
  <si>
    <t>по адресу:      ул. Поповича, 98</t>
  </si>
  <si>
    <t>по адресу:      ул. Поповича, 102</t>
  </si>
  <si>
    <t>по адресу:      ул. Поповича, 104</t>
  </si>
  <si>
    <t>по адресу:      ул. Поповича, 106</t>
  </si>
  <si>
    <t>по адресу:      ул. Поповича, 108</t>
  </si>
  <si>
    <t>по адресу:      ул. Поповича, 110</t>
  </si>
  <si>
    <t>Замена светильников</t>
  </si>
  <si>
    <t>по адресу:    ул.  Чехова, 29</t>
  </si>
  <si>
    <t>по адресу:    ул.  Мира, 88</t>
  </si>
  <si>
    <t>по   содержанию и текущему ремонту общего   имущества дома за  2014 год</t>
  </si>
  <si>
    <r>
      <t xml:space="preserve">по   содержанию и текущему ремонту </t>
    </r>
    <r>
      <rPr>
        <b/>
        <sz val="12"/>
        <rFont val="Times New Roman"/>
        <family val="1"/>
      </rPr>
      <t>общего   имущества дома за  2014 год</t>
    </r>
  </si>
  <si>
    <t>Долг на 01.01.2014 г</t>
  </si>
  <si>
    <t>Задолженность жителей  на 01.01.2015 г</t>
  </si>
  <si>
    <t>текущий ремонт. Руб</t>
  </si>
  <si>
    <t>ремонт        руб.</t>
  </si>
  <si>
    <t>Текущее</t>
  </si>
  <si>
    <t>содержание</t>
  </si>
  <si>
    <t xml:space="preserve">Капитальный </t>
  </si>
  <si>
    <t>ремонт     руб</t>
  </si>
  <si>
    <t>за 2014 год</t>
  </si>
  <si>
    <t xml:space="preserve">  Директор ООО "ЖЭУ-3"</t>
  </si>
  <si>
    <t xml:space="preserve">    Исп.</t>
  </si>
  <si>
    <t xml:space="preserve">   42-45-13</t>
  </si>
  <si>
    <t>2.2 Системы ХВС</t>
  </si>
  <si>
    <t>2.3.Систем центрального отопления</t>
  </si>
  <si>
    <t>2.4 Системы канализации</t>
  </si>
  <si>
    <t>2.5 Системы ГВС</t>
  </si>
  <si>
    <t>Всего по текущему ремонту:</t>
  </si>
  <si>
    <t>Опрессовка систем ЦО</t>
  </si>
  <si>
    <t>Остекление,ремонт фрамуг,замена разбитых стекол</t>
  </si>
  <si>
    <t>Смена сгонов,муфт, прочей арматуры ХВС</t>
  </si>
  <si>
    <t xml:space="preserve">Ремонт аварийных ветилей ХВС, замена вентилей </t>
  </si>
  <si>
    <t>Ликвидация воздушных пробок в системе ЦО</t>
  </si>
  <si>
    <t>Замена вентилей систем отопления</t>
  </si>
  <si>
    <t>Смена сгонов,муфт, прочей арматуры отопления</t>
  </si>
  <si>
    <t xml:space="preserve">Прочие работы по содержанию системы ЦО </t>
  </si>
  <si>
    <t>м.п</t>
  </si>
  <si>
    <t>2.1 РАБОТЫ ПО  ТЕХНИЧЕСКОМУ СОДЕРЖАНИЮ И ТЕКУЩЕМУ РЕМОНТУ:</t>
  </si>
  <si>
    <t>3.Ремонтно-аварийное обслуживание</t>
  </si>
  <si>
    <t>Всего по текущему содержанию и ремонту:</t>
  </si>
  <si>
    <t>4.Материалы</t>
  </si>
  <si>
    <t>Очистка в/домовых территорий от снега,вывоз снега, мусора</t>
  </si>
  <si>
    <t>Опрессовка системы ЦО</t>
  </si>
  <si>
    <t>Смена навесного замка</t>
  </si>
  <si>
    <t>Ремонт дверных заполнений</t>
  </si>
  <si>
    <t>Прочие работы по ремонту оконных и дверных заполнений</t>
  </si>
  <si>
    <t>Прочие работы по ремонту системы ЦО</t>
  </si>
  <si>
    <t>Прочие работы по содержанию ГВС</t>
  </si>
  <si>
    <t>Замена вентилей системы отопления,ремонт и ревизия вентилей</t>
  </si>
  <si>
    <t>Плановая ревизия задвижек ЦО</t>
  </si>
  <si>
    <t>2.6 Системы электрооборудования</t>
  </si>
  <si>
    <t>Всего по текущему содержанию и ремонту :</t>
  </si>
  <si>
    <t>Очисткав/домовых территорий от снега, вывоз снега и мусора</t>
  </si>
  <si>
    <t>Косметический ремонт подъезда</t>
  </si>
  <si>
    <t>Смена оконных и дверных приборов ( в т.ч. запирающих устройств дверей и чердачных люков )</t>
  </si>
  <si>
    <t>Прочий ремонт по содержанию электрооборудования</t>
  </si>
  <si>
    <t>Смена сгонов,муфт и прочей арматуры ГВС</t>
  </si>
  <si>
    <t>Прочие работы по содержанию системы ЦО</t>
  </si>
  <si>
    <t>Замена вентилей системы отопления, ремонт и ревизия вентилей отопления</t>
  </si>
  <si>
    <t>Очистка в/домовых территорий от снега, вывоз снега и мусора</t>
  </si>
  <si>
    <t>Дератизация , дезинсекция</t>
  </si>
  <si>
    <t>Установка поручней на входной зоне</t>
  </si>
  <si>
    <t>Мелкий ремонт балконов,лестниц,крылец</t>
  </si>
  <si>
    <t>Смена окрнных и дверных приборов ( в т. ч. Запирающих устройств дверей и чердачных люков )</t>
  </si>
  <si>
    <t>Прочие работы по содержанию окрнных и дверных заполнений</t>
  </si>
  <si>
    <t>Устранение мелких засоров канализации</t>
  </si>
  <si>
    <t>Прочие работы по содержанию системы электрооборудования</t>
  </si>
  <si>
    <t>Очистка чердака от мусора</t>
  </si>
  <si>
    <t>Остекленение фрамуг</t>
  </si>
  <si>
    <t>Ремонт системы отопления</t>
  </si>
  <si>
    <t>Очисткав/домовых территорий от снега,вывоз снега</t>
  </si>
  <si>
    <t xml:space="preserve">3.Ремонтно-аварийная служба </t>
  </si>
  <si>
    <t xml:space="preserve">5. Расходы по управлению </t>
  </si>
  <si>
    <t>Проверка состояния слуховых окон</t>
  </si>
  <si>
    <t>2.4 Систем ХВС</t>
  </si>
  <si>
    <t>Ремонт аварийных вентилей ГВС</t>
  </si>
  <si>
    <t xml:space="preserve">Устранение местных засоров канализации </t>
  </si>
  <si>
    <t>Замены вентилей системы отопления</t>
  </si>
  <si>
    <t>Замена пакетных переключателей вводно-распред.устройств</t>
  </si>
  <si>
    <t>Мелкий ремонт ( замена ) электропроводки</t>
  </si>
  <si>
    <t>2.2. Системы ХВС</t>
  </si>
  <si>
    <t>2.3 Системы центрального отопления</t>
  </si>
  <si>
    <t>Смена вентилей, ремонт задвижки ХВС</t>
  </si>
  <si>
    <t>Очистка в/ домовых территорий от снега, вывоз снега</t>
  </si>
  <si>
    <t>Прочие работы по содержанию стен и фасадов</t>
  </si>
  <si>
    <t>Замена небольших участков внутренниз систем ХВС</t>
  </si>
  <si>
    <t>Прочистка подводки ХВС</t>
  </si>
  <si>
    <t>Замена вентилей системы ХВС</t>
  </si>
  <si>
    <t>2.4 Системы ГВС</t>
  </si>
  <si>
    <t>2.5 Системы канализации</t>
  </si>
  <si>
    <t>устранение местных засоров канализации</t>
  </si>
  <si>
    <t>секц</t>
  </si>
  <si>
    <t>Очистка в/домовой территории от снега, вывоз снега</t>
  </si>
  <si>
    <t>2.1 Конструктивных элементов зданий</t>
  </si>
  <si>
    <t>Смена сгонов,муфт и прочей арматуры ЦО</t>
  </si>
  <si>
    <t>3.Расходы на управление</t>
  </si>
  <si>
    <t>Работы по содержанию кровли,ремонт кровли</t>
  </si>
  <si>
    <t xml:space="preserve">2.4 Системы электрооборудования </t>
  </si>
  <si>
    <t>Очистка в /домовых территорий от снега, вывоз снега</t>
  </si>
  <si>
    <t xml:space="preserve"> Работы по содержанию кровли, мелкий ремонт кровли</t>
  </si>
  <si>
    <t>2.1Конструктивных элементов здания</t>
  </si>
  <si>
    <t>4. Материалы :</t>
  </si>
  <si>
    <t>Удаление с крыши снега и наледи</t>
  </si>
  <si>
    <t xml:space="preserve">Уборка придомовой территории </t>
  </si>
  <si>
    <t>прочие работы по содержанию электооборудования</t>
  </si>
  <si>
    <t>2. РАБОТЫ ПО  ТЕХНИЧЕСКОМУ СОДЕРЖАНИЮ И ТЕХНИЧЕСКОМУ РЕМОНТУ:</t>
  </si>
  <si>
    <t>3.Ремонтно-аварийная служба</t>
  </si>
  <si>
    <t>смена сгонов,муфт, прочей арматуры отопления</t>
  </si>
  <si>
    <t>Замена вентилей системы ЦО</t>
  </si>
  <si>
    <t>2.2 Системы отопления</t>
  </si>
  <si>
    <t>Прочме работы по содержанию системы водоснабжения</t>
  </si>
  <si>
    <t>Мелкий ремонт электропроводким.</t>
  </si>
  <si>
    <t>2.2 Систем центрального отопления</t>
  </si>
  <si>
    <t>2. 3 Систем канализации</t>
  </si>
  <si>
    <t>Ремонт участка полотенцесушителя</t>
  </si>
  <si>
    <t>2.4 Системы ХВС</t>
  </si>
  <si>
    <t>Замена разбитых окон</t>
  </si>
  <si>
    <t>3. Ремонтно-аварийная служба</t>
  </si>
  <si>
    <t>Замена небольших участков внутренниз систем отопления</t>
  </si>
  <si>
    <t>Прочие работы по содержанию системы отопления</t>
  </si>
  <si>
    <t>Всего по текущему содержанию  и ремонту</t>
  </si>
  <si>
    <t>2.2 Системы центрального отопления</t>
  </si>
  <si>
    <t>Всего по текущему содержанию и ремонту</t>
  </si>
  <si>
    <t>Замена участка трубы ЦО</t>
  </si>
  <si>
    <t>Очистка в/ домовых территорий от снега, вывоз снега, мусора</t>
  </si>
  <si>
    <t>Очистка в/домовых территорий от снега, вывоз снега, мусора</t>
  </si>
  <si>
    <t>Работы по содержанию  кровли, мелкий ремонт кровли</t>
  </si>
  <si>
    <t>Смена оконных и дверных приборов ( в т.ч. Запирающих устройств дверей и чердачеых люков )</t>
  </si>
  <si>
    <t>5 раз в неделю</t>
  </si>
  <si>
    <t>+</t>
  </si>
  <si>
    <t>Прочистка  канализационной гребенки</t>
  </si>
  <si>
    <t>Протирка пыли с подоконников, мытье окон, протирка стен</t>
  </si>
  <si>
    <r>
      <t xml:space="preserve">          </t>
    </r>
    <r>
      <rPr>
        <sz val="10"/>
        <rFont val="Times New Roman"/>
        <family val="1"/>
      </rPr>
      <t xml:space="preserve">Наименование  работ      </t>
    </r>
  </si>
  <si>
    <t>Капитальный</t>
  </si>
  <si>
    <t>ремонт, руб.</t>
  </si>
  <si>
    <t>Содержание и</t>
  </si>
  <si>
    <t>тек.ремонт,руб.</t>
  </si>
  <si>
    <t>Обслуживание лифта</t>
  </si>
  <si>
    <t xml:space="preserve"> по договору</t>
  </si>
  <si>
    <r>
      <t xml:space="preserve">по адресу:   </t>
    </r>
    <r>
      <rPr>
        <b/>
        <sz val="11"/>
        <rFont val="Arial"/>
        <family val="2"/>
      </rPr>
      <t xml:space="preserve">   ул. Дзержинского, 40</t>
    </r>
  </si>
  <si>
    <t>по адресу:    ул.  Невельского, 34/Б</t>
  </si>
  <si>
    <r>
      <t xml:space="preserve">          </t>
    </r>
    <r>
      <rPr>
        <sz val="11"/>
        <rFont val="Times New Roman"/>
        <family val="1"/>
      </rPr>
      <t xml:space="preserve">Наименование  работ      </t>
    </r>
  </si>
  <si>
    <t>шт.</t>
  </si>
  <si>
    <t>Устранение местных засоров канализации</t>
  </si>
  <si>
    <t>Замена задвижек системы отопления</t>
  </si>
  <si>
    <t>по адресу:      ул. Карла Маркса, 29</t>
  </si>
  <si>
    <t>по адресу:      ул. Карла Маркса, 31</t>
  </si>
  <si>
    <t>Гидравлические испытания тепловых пунктов и элеваторных узлов</t>
  </si>
  <si>
    <t>Консервация,  расконсервация систем центрального отопления</t>
  </si>
  <si>
    <t>Оплачено жителями дома</t>
  </si>
  <si>
    <t xml:space="preserve">Начислено жителям дома </t>
  </si>
  <si>
    <t>по адресу:      ул. Амурская, 1</t>
  </si>
  <si>
    <t>Содержание и текущий ремонт, руб.</t>
  </si>
  <si>
    <t>Замена небольших участков внутр.систем ГВС</t>
  </si>
  <si>
    <t>Смена сгонов, муфт и прочей арматуры ГВС</t>
  </si>
  <si>
    <t>по адресу:      ул. Амурская, 4</t>
  </si>
  <si>
    <t>по адресу:    ул.  Амурская, 29</t>
  </si>
  <si>
    <t>по адресу:    ул.  Невельского, 34/В</t>
  </si>
  <si>
    <t>по адресу:    ул.  Невельского, 58</t>
  </si>
  <si>
    <t>Уборка лестничных клеток, влажное подмет. нижних 3х этажей</t>
  </si>
  <si>
    <t>Уборка лестничных клеток, влажное подмет. выше 3го этажа</t>
  </si>
  <si>
    <t>о выполнении ООО «ЖЭУ- 3»</t>
  </si>
  <si>
    <t>Фактические расходы   ООО "ЖЭУ-3"</t>
  </si>
  <si>
    <t>Прочие работы по содержанию электропроводки</t>
  </si>
  <si>
    <t>2. 2 Системы отопления</t>
  </si>
  <si>
    <t>2.3 Системы ГВС</t>
  </si>
  <si>
    <t>Прочие работы по содержанию лестниц,крылец</t>
  </si>
  <si>
    <t>Всего по текущему обслуживанию и ремонту :</t>
  </si>
  <si>
    <t>прочие работы по содержанию контейнерных площадок</t>
  </si>
  <si>
    <t>2.3 Системы отопления</t>
  </si>
  <si>
    <t>1000м2</t>
  </si>
  <si>
    <t>Прочие работы  по содержанию канализации</t>
  </si>
  <si>
    <t xml:space="preserve">Удаление с кровли снега и наледи </t>
  </si>
  <si>
    <t>3.Ремонтно-аврийное обслуживание</t>
  </si>
  <si>
    <t>Мелкий ремонт конька</t>
  </si>
  <si>
    <t>2.3 Система ХВС</t>
  </si>
  <si>
    <t>Замена задвижек системы ХВС</t>
  </si>
  <si>
    <t>Ремонт и ревизия вентилей системы ХВС</t>
  </si>
  <si>
    <t>2. РАБОТЫ ПО  ТЕХНИЧЕСКОМУ СОДЕРЖАНИЮ и текущему ремонту:</t>
  </si>
  <si>
    <t>Ремонт участка системы ЦО</t>
  </si>
  <si>
    <t>2.3 Системв ХВС</t>
  </si>
  <si>
    <t>Замена ламп системы электрооборудования</t>
  </si>
  <si>
    <t>Замена автоматич. Выключателей</t>
  </si>
  <si>
    <t>Замена потолочного патрона</t>
  </si>
  <si>
    <t>Ремонт электрооборудования</t>
  </si>
  <si>
    <t>Очиска в/домовых территрий от снега, вывоз снега и мусора</t>
  </si>
  <si>
    <t>Работы по содержанию стен и фасадов, частчный ремонт фасада</t>
  </si>
  <si>
    <t>Ремонт и ревизия вентилей системы отопления</t>
  </si>
  <si>
    <t>мелкий ремонт ( замена ) электропроводки</t>
  </si>
  <si>
    <t xml:space="preserve">Замена небольших участков внутренних систем ХВС </t>
  </si>
  <si>
    <t>Замена фасонных частей канализационных труб</t>
  </si>
  <si>
    <t xml:space="preserve">Удаление с крыш снега и наледи </t>
  </si>
  <si>
    <t>Смена оконных и дверных приборов ( в т.ч. Запирающих устройств и люков )</t>
  </si>
  <si>
    <t>Ремонт задвижек ЦО</t>
  </si>
  <si>
    <t>Замена задвижек системы ЦО</t>
  </si>
  <si>
    <t>2.4 Система ГВС</t>
  </si>
  <si>
    <t>м.пю</t>
  </si>
  <si>
    <t xml:space="preserve">Прочистка канализационной гребенки </t>
  </si>
  <si>
    <t>Замена предохранителей,выключателей</t>
  </si>
  <si>
    <t xml:space="preserve">                                                                                                                                                       ё  </t>
  </si>
  <si>
    <t>Консервация, расконсервация систем центрального отопления</t>
  </si>
  <si>
    <t>Фактические расходы   ООО"ЖЭУ-3"</t>
  </si>
  <si>
    <t xml:space="preserve">Начислено  жителям дома </t>
  </si>
  <si>
    <t>Фактические расходы ООО "ЖЭУ-3"</t>
  </si>
  <si>
    <t>Фактические расходы  ООО "ЖЭУ-3"</t>
  </si>
  <si>
    <t>Работы по содержанию электрооборудования</t>
  </si>
  <si>
    <t>Мелкий ремонт электропроводки</t>
  </si>
  <si>
    <t>Гидравлические испытания разводящих сетей ЦО и ГВС</t>
  </si>
  <si>
    <t>по адресу:    ул.  Невельского, 42</t>
  </si>
  <si>
    <t>Смена муфт, сгонов и прочей арматуры ХВС</t>
  </si>
  <si>
    <t>по адресу:    ул.  Пушкина, 57</t>
  </si>
  <si>
    <t>Смена муфт, сгонов и пр.арматуры ХВС</t>
  </si>
  <si>
    <t>по адресу:    ул.  Амурская, 65</t>
  </si>
  <si>
    <t>по адресу:    ул.  Дзержинского, 22</t>
  </si>
  <si>
    <t xml:space="preserve">по адресу:    ул.  Амурская, 6 </t>
  </si>
  <si>
    <t xml:space="preserve">Содержание и </t>
  </si>
  <si>
    <t>Смена муфт, сгонов и прочей арматуры отопления</t>
  </si>
  <si>
    <t>Горячее водоснабжение</t>
  </si>
  <si>
    <t>Холодное водоснабжение</t>
  </si>
  <si>
    <t>Смена трубопроводов в подвале</t>
  </si>
  <si>
    <t>Смена стояков</t>
  </si>
  <si>
    <t>Смена задвижек</t>
  </si>
  <si>
    <t>Смена запорной арматуры на стояках</t>
  </si>
  <si>
    <t>Смена полотенцесушителей</t>
  </si>
  <si>
    <t>Утепление стояков  в подъезде</t>
  </si>
  <si>
    <t>Устройство водомерного узла</t>
  </si>
  <si>
    <t>руб.</t>
  </si>
  <si>
    <t>Смена канализационного выпусков (от стены дома до колодца)</t>
  </si>
  <si>
    <t>Смена стояков канализации (в квартирах)</t>
  </si>
  <si>
    <t>Установка общедомового прибора учета</t>
  </si>
  <si>
    <t>Смена проводки (перетяжка) в местах общего пользования (подвал, подъезды)</t>
  </si>
  <si>
    <t>Смена бойлера</t>
  </si>
  <si>
    <t xml:space="preserve">Остаток на начало года </t>
  </si>
  <si>
    <t>Всего оплачено жильцами по дому</t>
  </si>
  <si>
    <t>Всего израсходовано по дому</t>
  </si>
  <si>
    <t>Экономич ( - ), перерасход ( + )</t>
  </si>
  <si>
    <t>Директор ООО " ЖЭУ-3"</t>
  </si>
  <si>
    <t>Бреус Е.В.</t>
  </si>
  <si>
    <t>исп. Экономист</t>
  </si>
  <si>
    <t>Смена (установка) циркуляционного насоса для бойлера</t>
  </si>
  <si>
    <t>Тепловая изоляция трубопроводов в подвале (трубы голые)</t>
  </si>
  <si>
    <t>Устройство водомерного узла с установкой общего прибора учета (2 водомера)</t>
  </si>
  <si>
    <t>Удаление с крыщ снега и наледи</t>
  </si>
  <si>
    <t>Прчие работы по содержанию системы  ГВС</t>
  </si>
  <si>
    <t>Всего по текущему содержаниию и ремонту</t>
  </si>
  <si>
    <t xml:space="preserve">4. Материалы </t>
  </si>
  <si>
    <t>прочие работы по содержанию системы ХВС</t>
  </si>
  <si>
    <t>Прочие работы по содержанию канализацию</t>
  </si>
  <si>
    <t>прочие работы по содержанию электрооборудования</t>
  </si>
  <si>
    <t>Мелкий ремонт ( замена )электропроводки</t>
  </si>
  <si>
    <t xml:space="preserve">Очистка в/домовых территорий от снега, вывоз снега и мусора </t>
  </si>
  <si>
    <t>Замана ламп внутреннего освещения</t>
  </si>
  <si>
    <t>Замена  вентилей системы отопления</t>
  </si>
  <si>
    <t>Мелкий ремонт ( замена ) электрооборудования</t>
  </si>
  <si>
    <t>Очистка в/домовых территорий от снега,вывоз снега и мусора</t>
  </si>
  <si>
    <t>Работа по содержанию кровли, мелкий ремонт кровли</t>
  </si>
  <si>
    <t>Частичный ремонт шиферной кровли</t>
  </si>
  <si>
    <t>Ремонт электроборудования</t>
  </si>
  <si>
    <t>2.5 Систем электрооборудования</t>
  </si>
  <si>
    <t>Частичный ремонт кровли</t>
  </si>
  <si>
    <t>Ремонт входной зоны в подъезд № 4</t>
  </si>
  <si>
    <t xml:space="preserve">Частичный ремонт шиферной кровли, </t>
  </si>
  <si>
    <t>Работы по содержанию кровли, частичный ремонт кровли</t>
  </si>
  <si>
    <t>Работа по содержанию кровли, частичный ремонт кровли</t>
  </si>
  <si>
    <t>Работы по содержанию кровли, частичный  ремонт кровли</t>
  </si>
  <si>
    <t>Замена вентилей системы ГВС</t>
  </si>
  <si>
    <t>прочие работы по содержанию канализации</t>
  </si>
  <si>
    <t>прочие работы по содержанию системы отопления</t>
  </si>
  <si>
    <t xml:space="preserve">Замена вентилей системы отопления </t>
  </si>
  <si>
    <t>Замена оамп внутреннего освещения</t>
  </si>
  <si>
    <t>Ремонт розеток, выключателей</t>
  </si>
  <si>
    <t>2.  РАБОТЫ ПО  ТЕХНИЧЕСКОМУ СОДЕРЖАНИЮ И ТЕКУЩЕМУ РЕМОНТУ:</t>
  </si>
  <si>
    <t>очистка в/домовых территорий  от снега, вывоз снега и мусора</t>
  </si>
  <si>
    <t>смена сгонов, муфт и прочей ариатуры отопления</t>
  </si>
  <si>
    <t>Подчеканка канализационеых стыков</t>
  </si>
  <si>
    <t>подв пом</t>
  </si>
  <si>
    <t>Осмотр канализационных колодцев</t>
  </si>
  <si>
    <t>колодец</t>
  </si>
  <si>
    <t>Очистка в/домовых тарриторий от снега, вывоз снега и мусора</t>
  </si>
  <si>
    <t>2.1Конструктивных элементов зданияк</t>
  </si>
  <si>
    <t>Смена участка трубы системы ХВС</t>
  </si>
  <si>
    <t>Смена оконных и дверных приборов (запирающих устройств дверей, чердаков)</t>
  </si>
  <si>
    <t>Прочие работы по содержанию осистемы ХВС</t>
  </si>
  <si>
    <t>прочие работы по содержанию системы ГВС</t>
  </si>
  <si>
    <t>Устранение  местных засоров канализации</t>
  </si>
  <si>
    <t>2.2  Системы отопления</t>
  </si>
  <si>
    <t>Замена небольших участков внуиренних систем отопления</t>
  </si>
  <si>
    <t>Смена сгонов,муфт и прочей арматуры отпления</t>
  </si>
  <si>
    <t>Временная заделка свищей ХВС</t>
  </si>
  <si>
    <t>2.3 Систем ХВС</t>
  </si>
  <si>
    <t>2.4 Система канализации</t>
  </si>
  <si>
    <t>Осмотр линий эл. Сетей, арматуры и электрооборудования</t>
  </si>
  <si>
    <t>очистка в/домовых территорий от снега, вывоз снега и мусора</t>
  </si>
  <si>
    <t>Прочие работы по содержанию тротуаров</t>
  </si>
  <si>
    <t>Прочие работы по содержанию систем ЦО</t>
  </si>
  <si>
    <t>итого:</t>
  </si>
  <si>
    <t>Ляшкевич А.а.</t>
  </si>
  <si>
    <t xml:space="preserve">3. Ремонтно-аварийное обслуживание </t>
  </si>
  <si>
    <t>2.3 Система канализации</t>
  </si>
  <si>
    <t>Восстановление (ремонт) вводов системы холодного водоснабжения в подвальное помещение</t>
  </si>
  <si>
    <t xml:space="preserve">Заделка неплотности вокруг трубопроводов, проходящих через перекрытия </t>
  </si>
  <si>
    <t>Ремонт (модернизация) элеваторных (тепловых) узлов</t>
  </si>
  <si>
    <t xml:space="preserve">Устройство водомерного узла с установкой общего прибора учета </t>
  </si>
  <si>
    <t>Реконструкция водомерного узла узла</t>
  </si>
  <si>
    <t>Установка (смена) рубильника</t>
  </si>
  <si>
    <t xml:space="preserve">договора управления многоквартирным домом </t>
  </si>
  <si>
    <t>Наименование</t>
  </si>
  <si>
    <t>Содержание и текущий ремонт</t>
  </si>
  <si>
    <t xml:space="preserve">руб.   </t>
  </si>
  <si>
    <t xml:space="preserve">руб.      </t>
  </si>
  <si>
    <t xml:space="preserve">Начислено    жителям дома </t>
  </si>
  <si>
    <t xml:space="preserve">Оплачено жителями  </t>
  </si>
  <si>
    <t xml:space="preserve">Задолженность жителей     </t>
  </si>
  <si>
    <t>Капитальный ремонт</t>
  </si>
  <si>
    <t xml:space="preserve">                    Виды выполненных работ и услуг</t>
  </si>
  <si>
    <r>
      <t xml:space="preserve">          </t>
    </r>
    <r>
      <rPr>
        <b/>
        <sz val="14"/>
        <rFont val="Times New Roman"/>
        <family val="1"/>
      </rPr>
      <t xml:space="preserve">Наименование  работ      </t>
    </r>
  </si>
  <si>
    <t>6 раз(а) в неделю</t>
  </si>
  <si>
    <t xml:space="preserve">3 раз(а)- июнь,июль,август </t>
  </si>
  <si>
    <t xml:space="preserve">Вывоз мусора </t>
  </si>
  <si>
    <t xml:space="preserve">Окос газонов </t>
  </si>
  <si>
    <t>ежедневно</t>
  </si>
  <si>
    <t>5 раз(а) в неделю</t>
  </si>
  <si>
    <t>Работа уборщиц по уборке подъездов</t>
  </si>
  <si>
    <t>Смена или ремонт ВРУ</t>
  </si>
  <si>
    <t>Смена  этажных щитков.</t>
  </si>
  <si>
    <t>факт</t>
  </si>
  <si>
    <t>Работа дворника по уборке территории двора в зимний и летний период</t>
  </si>
  <si>
    <t>Если работы не выполнялись, то необходимо удалить эти строчки из отчета</t>
  </si>
  <si>
    <t xml:space="preserve">Выполнение    заявок  населения, поступивших   лично или по телефону     </t>
  </si>
  <si>
    <t>в течение года</t>
  </si>
  <si>
    <t>Сделано перерасчетов по дому</t>
  </si>
  <si>
    <t>Выполнение работ</t>
  </si>
  <si>
    <t>Прочистка канализационной системы( подвальные помещения).</t>
  </si>
  <si>
    <t>Покос газонов</t>
  </si>
  <si>
    <t>Проведение технических осмотров с составлением расчетов стоимости работ</t>
  </si>
  <si>
    <t>Устранение неисправностей  аварийного характера на сетях отопления, ГВС, ХВС</t>
  </si>
  <si>
    <t>1.( плотники-кровельщики, штукатуры-маляры)</t>
  </si>
  <si>
    <t>Объем</t>
  </si>
  <si>
    <t>п/м</t>
  </si>
  <si>
    <t>штук</t>
  </si>
  <si>
    <t>2. Отопление, горячее и холодное водоснабжение</t>
  </si>
  <si>
    <t>м</t>
  </si>
  <si>
    <t>узел</t>
  </si>
  <si>
    <t>Смена канализационных труб в подвальных помещениях.</t>
  </si>
  <si>
    <t>прибор</t>
  </si>
  <si>
    <t>3.Канализация</t>
  </si>
  <si>
    <t>4.Электроснабжение</t>
  </si>
  <si>
    <t>5.Разные работы</t>
  </si>
  <si>
    <t xml:space="preserve">  весной и при подготовке к зиме</t>
  </si>
  <si>
    <t xml:space="preserve">Услуги аварийно-ремонтной службы </t>
  </si>
  <si>
    <t xml:space="preserve"> Расчистка территории от снега с привлечением транспорта</t>
  </si>
  <si>
    <t>ОТЧЕТ</t>
  </si>
  <si>
    <t>Восстановление отопления в подъездах</t>
  </si>
  <si>
    <t>Прочие работы ( установка навесного замка  )</t>
  </si>
  <si>
    <t>Смена сгонов,муфт и прочей арматуры ХВС</t>
  </si>
  <si>
    <t>Прочие работы по системк ХВС</t>
  </si>
  <si>
    <t>Прочие работы по содержанию электрооборудования</t>
  </si>
  <si>
    <t>2.5 Систем ГВС</t>
  </si>
  <si>
    <t>Замена аварийных вентилей ГВС</t>
  </si>
  <si>
    <t>Прочие работы по содержанию системы ГВС</t>
  </si>
  <si>
    <t>м.л. труб</t>
  </si>
  <si>
    <t>Прочие работы по содержанию оконных и дверных заполнений</t>
  </si>
  <si>
    <t>Прочие работы по содержанию канализации, смена п/этилен. Труб д=100 мм-100 м</t>
  </si>
  <si>
    <t>Замена небольших участков внутренних систем ХВС, смена стальных труб-200 м</t>
  </si>
  <si>
    <t>Замена вентилей ХВС-100 шт</t>
  </si>
  <si>
    <t>Итого:</t>
  </si>
  <si>
    <t>5. Расходы на управлении :</t>
  </si>
  <si>
    <t>4. Материалы:</t>
  </si>
  <si>
    <t>Смена сгонов,муфт и прочей арматуры отопления</t>
  </si>
  <si>
    <t>Дератизация,дезинсекция</t>
  </si>
  <si>
    <t>2.3. Систем центрального отопления:</t>
  </si>
  <si>
    <t>2.4 Систем канализации :</t>
  </si>
  <si>
    <t>2.5 Систем ГВС:</t>
  </si>
  <si>
    <t>2.6Систем Электрооборудования</t>
  </si>
  <si>
    <t>Опрессовка систем центрального отопления</t>
  </si>
  <si>
    <t>Ремонт участка системы ЦО, смена стальных труб-100 м</t>
  </si>
  <si>
    <t>Замена вентилей ХВС,прочие работы по содержанию систем водоснабжения</t>
  </si>
  <si>
    <t>Прочие работы по содержанию систем ГВС</t>
  </si>
  <si>
    <t>Прочие работы по содержанию канализации, устранение местных засоров</t>
  </si>
  <si>
    <t>Подчеканка канализационных стыков,прочистка канализационной гребенки</t>
  </si>
  <si>
    <t>Дератизация,дезинсенция</t>
  </si>
  <si>
    <t>Расчистка в/домовых территорий от снега, вывоз снега,мусора</t>
  </si>
  <si>
    <t>2.1.Конструктивных элементов зданий</t>
  </si>
  <si>
    <t>2.2.Систем ХВС</t>
  </si>
  <si>
    <t xml:space="preserve">2.3 Систем центрального отопления </t>
  </si>
  <si>
    <t>2.6.Систем электрооборудования</t>
  </si>
  <si>
    <t>4.Материалы:</t>
  </si>
  <si>
    <t>5.Расходы на управление:</t>
  </si>
  <si>
    <t>Мелкий ремонт кровли</t>
  </si>
  <si>
    <t>Смена автомата</t>
  </si>
  <si>
    <t>Смена оконных и дверных приборов ( в т.ч. Запирающихся устройств дверей и чердачных люков )</t>
  </si>
  <si>
    <t>Прочие работы по содержанию системы водоснабжения</t>
  </si>
  <si>
    <t>замена участков внутренней системы отопления</t>
  </si>
  <si>
    <t>Прочие работы по содержанию системы  отопления</t>
  </si>
  <si>
    <t>Прочие работы по содержанию по содержанию системы ГВС</t>
  </si>
  <si>
    <t>Всего по текущему содержанию:</t>
  </si>
  <si>
    <t>2. РАБОТЫ ПО  ТЕХНИЧЕСКОМУ СОДЕРЖАНИЮ И ТЕКУЩЕМУ РЕМОТУ:</t>
  </si>
  <si>
    <t>2.1.Конструктивных элементов здания</t>
  </si>
  <si>
    <t xml:space="preserve">3. Ремонтно-аварийное обслуживание: </t>
  </si>
  <si>
    <t>5. Расходы на управление</t>
  </si>
  <si>
    <t>2.6 Систем электрооборудования</t>
  </si>
  <si>
    <t>Смена оконных и дверных приборов ( в т.ч. Запирающих устройств дверей и чердачных люков )</t>
  </si>
  <si>
    <t>Прочие работы по содержанию балконов,лестниц,крылец</t>
  </si>
  <si>
    <t>м.п.труб.</t>
  </si>
  <si>
    <t>Замена вентилей</t>
  </si>
  <si>
    <t>Прочие работы по содержанию систем водоснабжения</t>
  </si>
  <si>
    <t>Прочие работы по содержанию системы центрального отопления</t>
  </si>
  <si>
    <t>3. Ремонтно-аварийное обслуживание</t>
  </si>
  <si>
    <t>ВСЕГО:</t>
  </si>
  <si>
    <t>Расчистка в/домовых территорий от снега,вывоз снега ,мусора</t>
  </si>
  <si>
    <t>Мелкий ремон кровли</t>
  </si>
  <si>
    <t>Косметический ремонт подъездов</t>
  </si>
  <si>
    <t>Смена участка системы канализации</t>
  </si>
  <si>
    <t>Замена канализационной трубы</t>
  </si>
  <si>
    <t>Ремонт участка системы ХВС</t>
  </si>
  <si>
    <t>Ремонт иревизия вентилей ХВС</t>
  </si>
  <si>
    <t xml:space="preserve">Прочие работы по содержанию системы водоснабжения </t>
  </si>
  <si>
    <t>Прочие работы по внутреннему ремонту помещений</t>
  </si>
  <si>
    <t>Прочие работы по содержанию ЦО</t>
  </si>
  <si>
    <t>Замена предохранителей,автоматических выключателей</t>
  </si>
  <si>
    <t>Замена вентилей, задвижек  системы отопления</t>
  </si>
  <si>
    <t>очистка в/домовых территорий от снега,вывоз снега, мусора</t>
  </si>
  <si>
    <t>Оказание услуг по начислению  и сбору платежей</t>
  </si>
  <si>
    <r>
      <t>Ед. изм</t>
    </r>
    <r>
      <rPr>
        <b/>
        <sz val="10"/>
        <rFont val="Arial"/>
        <family val="2"/>
      </rPr>
      <t>.</t>
    </r>
  </si>
  <si>
    <t xml:space="preserve"> РАБОТЫ ПО  ТЕКУЩЕМУ РЕМОНТУ:</t>
  </si>
  <si>
    <t xml:space="preserve"> РАБОТЫ ПО СОДЕРЖАНИЮ ДОМА :</t>
  </si>
  <si>
    <t xml:space="preserve">Замена участков внутренних водостоков </t>
  </si>
  <si>
    <t>ПРИМЕЧАНИЕ:</t>
  </si>
  <si>
    <t>Если работы не указаны , то нужно  добавить дополнительно</t>
  </si>
  <si>
    <t>Очистка от мусора   подвальных помещений</t>
  </si>
  <si>
    <t>акт от ОАО "СКК"</t>
  </si>
  <si>
    <t>Подготовка общего имущества дома к сезонной эксплуатации: опрессовка, промывка, запуск систем отопления, переподключение на летний режим ГВС</t>
  </si>
  <si>
    <r>
      <t xml:space="preserve">Тепловая изоляция трубопроводов  </t>
    </r>
    <r>
      <rPr>
        <sz val="12"/>
        <color indexed="10"/>
        <rFont val="Arial"/>
        <family val="2"/>
      </rPr>
      <t>(трубы голые)</t>
    </r>
  </si>
  <si>
    <t>Е.В.Бреус</t>
  </si>
  <si>
    <t>Услуги АС-машины</t>
  </si>
  <si>
    <t xml:space="preserve">Слова, выделенные красным цветом не печатать, а заменить на фактические цифры </t>
  </si>
  <si>
    <t>Смена унитазов( аварийная ситуация)</t>
  </si>
  <si>
    <t>Замены ламп внутреннего освещения</t>
  </si>
  <si>
    <t>Прочин работы по содержанию канализации</t>
  </si>
  <si>
    <t>5.Расходы на управление</t>
  </si>
  <si>
    <t>2.2 Системы центрального отопление</t>
  </si>
  <si>
    <t>2.3 Системы электрооборудования</t>
  </si>
  <si>
    <t xml:space="preserve">2.2 Системы центрального отопления </t>
  </si>
  <si>
    <t>Удаление с кровли снега и мусора</t>
  </si>
  <si>
    <t>2.3 Системы ХВС</t>
  </si>
  <si>
    <t>2.5 Системы электрооборудования</t>
  </si>
  <si>
    <t>Прочие работы по ремонту электрооборудования</t>
  </si>
  <si>
    <t>Ремонт поэтажных электрощитков</t>
  </si>
  <si>
    <t>Прчие работы по содержанию системы ЦО</t>
  </si>
  <si>
    <t>Замена небольших участков системы отопления</t>
  </si>
  <si>
    <t>Замена небольших участков внуиренних систем ХВС</t>
  </si>
  <si>
    <t>5. Расходы по управлению</t>
  </si>
  <si>
    <t>Смена оконных и дверных приборов, в т.ч. запирающих устройств дверей и чердачных люков )</t>
  </si>
  <si>
    <t xml:space="preserve">Итого: </t>
  </si>
  <si>
    <r>
      <t xml:space="preserve">Подготовка общего имущества дома к сезонной эксплуатации:   </t>
    </r>
    <r>
      <rPr>
        <b/>
        <i/>
        <sz val="12"/>
        <rFont val="Times New Roman"/>
        <family val="1"/>
      </rPr>
      <t xml:space="preserve"> подготовка систем внутренних водостоков к сезонной эксплуатации, закрытие(открытие)продухов в цоколях зданий,  остекление, замена разбитых стекол, ремонт и укрепление входных дверей</t>
    </r>
  </si>
  <si>
    <t>за 2009 год</t>
  </si>
  <si>
    <t>Приложение №1</t>
  </si>
  <si>
    <t>Сумма затрат, руб.</t>
  </si>
  <si>
    <t>Долг на начало года</t>
  </si>
  <si>
    <t>по адресу:      ул. Карла Маркса, 27</t>
  </si>
  <si>
    <t xml:space="preserve"> Ремонт, покраска и восстановление ограждений и оборудования контейнерных площадок и контейнеров</t>
  </si>
  <si>
    <t>Ремонт малых форм детских площадок, ремонт и  окраска элементов детских,  спортивных и бельевых  площадок, ремонт штакетного забора</t>
  </si>
  <si>
    <r>
      <t>Обработка подвальных помещений от крыс, блох, комаров</t>
    </r>
    <r>
      <rPr>
        <sz val="12"/>
        <rFont val="Arial"/>
        <family val="2"/>
      </rPr>
      <t xml:space="preserve"> (дератизация, дезинсекция)</t>
    </r>
  </si>
  <si>
    <t>Удаление с крыш снега и наледи</t>
  </si>
  <si>
    <r>
      <t>Электромонтажные работы</t>
    </r>
    <r>
      <rPr>
        <b/>
        <sz val="12"/>
        <rFont val="Times New Roman"/>
        <family val="1"/>
      </rPr>
      <t>. Установка (замена) автоматов защиты АЕ, замена ( установка) выключателей, ревизия ВРУ,  ревизия этажных щитков</t>
    </r>
  </si>
  <si>
    <t>по договору</t>
  </si>
  <si>
    <r>
      <t xml:space="preserve">Прочие расходы </t>
    </r>
    <r>
      <rPr>
        <sz val="12"/>
        <rFont val="Arial"/>
        <family val="2"/>
      </rPr>
      <t>(очистка кровли  от мусора , трансп.расходы)</t>
    </r>
  </si>
  <si>
    <t>о выполнении ООО «ЖЭУ- 3  »</t>
  </si>
  <si>
    <t>за  2014 год</t>
  </si>
  <si>
    <r>
      <t>по адресу:      ул._</t>
    </r>
    <r>
      <rPr>
        <b/>
        <u val="single"/>
        <sz val="12"/>
        <rFont val="Arial"/>
        <family val="2"/>
      </rPr>
      <t>Поповича, 102</t>
    </r>
    <r>
      <rPr>
        <b/>
        <sz val="12"/>
        <rFont val="Arial"/>
        <family val="2"/>
      </rPr>
      <t xml:space="preserve">______________ </t>
    </r>
  </si>
  <si>
    <t>Фактические расходы   ООО ЖЭУ-3</t>
  </si>
  <si>
    <t>по адресу:    ул.  Хабаровская, 60</t>
  </si>
  <si>
    <t>по адресу:    ул.  Чехова, 1</t>
  </si>
  <si>
    <t>по адресу:    ул.  Чехова, 2А</t>
  </si>
  <si>
    <t>по адресу:    ул.  Чехова, 7</t>
  </si>
  <si>
    <t>по адресу:    ул.  Чехова, 31</t>
  </si>
  <si>
    <t>по адресу:    ул.  Чехова, 43А</t>
  </si>
  <si>
    <t xml:space="preserve">Смена внутренних канализационных труб </t>
  </si>
  <si>
    <t>Смена стальных труб</t>
  </si>
  <si>
    <t>Смена вентилей, сгонов, кранов</t>
  </si>
  <si>
    <t>Остекление фрамуг</t>
  </si>
  <si>
    <t>м2</t>
  </si>
  <si>
    <t>Ремонт групповых щитков со сменой автоматов</t>
  </si>
  <si>
    <t>Смена стальных труб на м/полимерные</t>
  </si>
  <si>
    <t>Смена смывного бочка</t>
  </si>
  <si>
    <t xml:space="preserve">Итого </t>
  </si>
  <si>
    <t>нет</t>
  </si>
  <si>
    <r>
      <t>по адресу:      ул._</t>
    </r>
    <r>
      <rPr>
        <b/>
        <u val="single"/>
        <sz val="12"/>
        <rFont val="Arial"/>
        <family val="2"/>
      </rPr>
      <t>Поповича, 104</t>
    </r>
    <r>
      <rPr>
        <b/>
        <sz val="12"/>
        <rFont val="Arial"/>
        <family val="2"/>
      </rPr>
      <t xml:space="preserve">______________ </t>
    </r>
  </si>
  <si>
    <t>100 м</t>
  </si>
  <si>
    <t>100 шт</t>
  </si>
  <si>
    <r>
      <t>по адресу:      ул._</t>
    </r>
    <r>
      <rPr>
        <b/>
        <u val="single"/>
        <sz val="12"/>
        <rFont val="Arial"/>
        <family val="2"/>
      </rPr>
      <t>Поповича, 106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</si>
  <si>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Поповича, 108</t>
    </r>
    <r>
      <rPr>
        <b/>
        <sz val="12"/>
        <rFont val="Arial"/>
        <family val="2"/>
      </rPr>
      <t xml:space="preserve">_____________ </t>
    </r>
  </si>
  <si>
    <r>
      <t>по адресу:      ул._</t>
    </r>
    <r>
      <rPr>
        <b/>
        <u val="single"/>
        <sz val="12"/>
        <rFont val="Arial"/>
        <family val="2"/>
      </rPr>
      <t>Поповича, 110</t>
    </r>
    <r>
      <rPr>
        <b/>
        <sz val="12"/>
        <rFont val="Arial"/>
        <family val="2"/>
      </rPr>
      <t xml:space="preserve">______________ </t>
    </r>
  </si>
  <si>
    <t>Шестопалова О.Н</t>
  </si>
  <si>
    <t>Директор ООО "ЖЭУ-3"</t>
  </si>
  <si>
    <r>
      <t>по адресу:      ул._</t>
    </r>
    <r>
      <rPr>
        <b/>
        <u val="single"/>
        <sz val="12"/>
        <rFont val="Arial"/>
        <family val="2"/>
      </rPr>
      <t>Чехова, 1</t>
    </r>
    <r>
      <rPr>
        <b/>
        <sz val="12"/>
        <rFont val="Arial"/>
        <family val="2"/>
      </rPr>
      <t xml:space="preserve">______________ </t>
    </r>
  </si>
  <si>
    <t xml:space="preserve"> </t>
  </si>
  <si>
    <t>,</t>
  </si>
  <si>
    <r>
      <t>по адресу:      ул._</t>
    </r>
    <r>
      <rPr>
        <b/>
        <u val="single"/>
        <sz val="12"/>
        <rFont val="Arial"/>
        <family val="2"/>
      </rPr>
      <t>Невельского, 53</t>
    </r>
    <r>
      <rPr>
        <b/>
        <sz val="12"/>
        <rFont val="Arial"/>
        <family val="2"/>
      </rPr>
      <t xml:space="preserve">____________ </t>
    </r>
  </si>
  <si>
    <r>
      <t>по адресу:      ул._</t>
    </r>
    <r>
      <rPr>
        <b/>
        <u val="single"/>
        <sz val="12"/>
        <rFont val="Arial"/>
        <family val="2"/>
      </rPr>
      <t>Невельского, 58</t>
    </r>
    <r>
      <rPr>
        <b/>
        <sz val="12"/>
        <rFont val="Arial"/>
        <family val="2"/>
      </rPr>
      <t xml:space="preserve">____________ </t>
    </r>
  </si>
  <si>
    <r>
      <t>по адресу:      ул._</t>
    </r>
    <r>
      <rPr>
        <b/>
        <u val="single"/>
        <sz val="12"/>
        <rFont val="Arial"/>
        <family val="2"/>
      </rPr>
      <t>Поповича, 98</t>
    </r>
    <r>
      <rPr>
        <b/>
        <sz val="12"/>
        <rFont val="Arial"/>
        <family val="2"/>
      </rPr>
      <t xml:space="preserve">____________ </t>
    </r>
  </si>
  <si>
    <r>
      <t>по адресу:      ул._</t>
    </r>
    <r>
      <rPr>
        <b/>
        <u val="single"/>
        <sz val="12"/>
        <rFont val="Arial"/>
        <family val="2"/>
      </rPr>
      <t>Пушкина, 57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</si>
  <si>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29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</si>
  <si>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31</t>
    </r>
    <r>
      <rPr>
        <b/>
        <sz val="12"/>
        <rFont val="Arial"/>
        <family val="2"/>
      </rPr>
      <t xml:space="preserve">______________ </t>
    </r>
  </si>
  <si>
    <t>42-45-13</t>
  </si>
  <si>
    <t>исп.экономист</t>
  </si>
  <si>
    <t>Директор ООО "ЖЭУ-3 "</t>
  </si>
  <si>
    <t>Бреус Е,В,</t>
  </si>
  <si>
    <r>
      <t>по адресу:      ул._</t>
    </r>
    <r>
      <rPr>
        <b/>
        <u val="single"/>
        <sz val="12"/>
        <rFont val="Arial"/>
        <family val="2"/>
      </rPr>
      <t>Сахалинская, 33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</si>
  <si>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39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</si>
  <si>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41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</si>
  <si>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45-а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</si>
  <si>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49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</si>
  <si>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51</t>
    </r>
    <r>
      <rPr>
        <b/>
        <sz val="12"/>
        <rFont val="Arial"/>
        <family val="2"/>
      </rPr>
      <t xml:space="preserve">_____________ </t>
    </r>
  </si>
  <si>
    <r>
      <t>по адресу:      ул._</t>
    </r>
    <r>
      <rPr>
        <b/>
        <u val="single"/>
        <sz val="12"/>
        <rFont val="Arial"/>
        <family val="2"/>
      </rPr>
      <t>Сахалинская, 55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</si>
  <si>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Хабаровская, 42</t>
    </r>
    <r>
      <rPr>
        <b/>
        <sz val="12"/>
        <rFont val="Arial"/>
        <family val="2"/>
      </rPr>
      <t xml:space="preserve">_____________ </t>
    </r>
  </si>
  <si>
    <t xml:space="preserve">Начислено жителям  дома </t>
  </si>
  <si>
    <t xml:space="preserve">Директор  ООО ЖЭУ-3 " </t>
  </si>
  <si>
    <t xml:space="preserve">Начислено  жителям  дома </t>
  </si>
  <si>
    <t>Ремонт мусоропровода</t>
  </si>
  <si>
    <t>100м2</t>
  </si>
  <si>
    <t>Прочме работы по ремонту стен и фасадов</t>
  </si>
  <si>
    <t>Гидравлическое испытание системы ЦО</t>
  </si>
  <si>
    <t>Фактические расходы ООО"ЖЭУ-3"</t>
  </si>
  <si>
    <r>
      <t>по адресу:      ул._</t>
    </r>
    <r>
      <rPr>
        <b/>
        <u val="single"/>
        <sz val="12"/>
        <rFont val="Arial"/>
        <family val="2"/>
      </rPr>
      <t>Хабаровская, 44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</si>
  <si>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Хабаровская, 58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</si>
  <si>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Хабаровская, 60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</si>
  <si>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31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</si>
  <si>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43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</si>
  <si>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43-а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</si>
  <si>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66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</si>
  <si>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68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</si>
  <si>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68-а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</si>
  <si>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7</t>
    </r>
    <r>
      <rPr>
        <b/>
        <sz val="12"/>
        <rFont val="Arial"/>
        <family val="2"/>
      </rPr>
      <t xml:space="preserve">_____________ </t>
    </r>
  </si>
  <si>
    <r>
      <t>по адресу:      ул._</t>
    </r>
    <r>
      <rPr>
        <b/>
        <u val="single"/>
        <sz val="12"/>
        <rFont val="Arial"/>
        <family val="2"/>
      </rPr>
      <t>Чехова, 70</t>
    </r>
    <r>
      <rPr>
        <b/>
        <sz val="12"/>
        <rFont val="Arial"/>
        <family val="2"/>
      </rPr>
      <t xml:space="preserve">______________ </t>
    </r>
  </si>
  <si>
    <r>
      <t>по адресу:      ул._</t>
    </r>
    <r>
      <rPr>
        <b/>
        <u val="single"/>
        <sz val="12"/>
        <rFont val="Arial"/>
        <family val="2"/>
      </rPr>
      <t>Чехова, 72</t>
    </r>
    <r>
      <rPr>
        <b/>
        <sz val="12"/>
        <rFont val="Arial"/>
        <family val="2"/>
      </rPr>
      <t xml:space="preserve">______________ </t>
    </r>
  </si>
  <si>
    <t>Обработка подвальных помещений от крыс, блох, комаров (дератизация, дезинсекция)</t>
  </si>
  <si>
    <r>
      <t xml:space="preserve">Подготовка общего имущества дома к сезонной эксплуатации:   </t>
    </r>
    <r>
      <rPr>
        <i/>
        <sz val="12"/>
        <rFont val="Times New Roman"/>
        <family val="1"/>
      </rPr>
      <t xml:space="preserve"> подготовка систем внутренних водостоков к сезонной эксплуатации, закрытие(открытие)продухов в цоколях зданий,  остекление, замена разбитых стекол, ремонт и укрепление входных дверей</t>
    </r>
  </si>
  <si>
    <r>
      <t>Электромонтажные работы</t>
    </r>
    <r>
      <rPr>
        <sz val="12"/>
        <rFont val="Times New Roman"/>
        <family val="1"/>
      </rPr>
      <t>. Установка (замена) автоматов защиты АЕ, замена ( установка) выключателей, ревизия ВРУ,  ревизия этажных щитков</t>
    </r>
  </si>
  <si>
    <t>Прочие расходы (очистка кровли  от мусора , трансп.расходы)</t>
  </si>
  <si>
    <r>
      <t xml:space="preserve">          </t>
    </r>
    <r>
      <rPr>
        <b/>
        <sz val="12"/>
        <rFont val="Times New Roman"/>
        <family val="1"/>
      </rPr>
      <t xml:space="preserve">Наименование  работ      </t>
    </r>
  </si>
  <si>
    <t>за 2010 год</t>
  </si>
  <si>
    <t xml:space="preserve"> РАБОТЫ ПО  СОДЕРЖАНИЮ ДОМА :</t>
  </si>
  <si>
    <t>Благоустройство территории</t>
  </si>
  <si>
    <t>Работы по содержанию системы водоснабжения</t>
  </si>
  <si>
    <t>Прочистка канализационных сетей</t>
  </si>
  <si>
    <t>Прочие работы по содержанию канализации</t>
  </si>
  <si>
    <t>Открытие-закрытие регулирующих органов отопления (вентелей задвижек)</t>
  </si>
  <si>
    <t>ППр плэтажных щитков</t>
  </si>
  <si>
    <t>щит</t>
  </si>
  <si>
    <t>Замена ламп внутреннего освещения</t>
  </si>
  <si>
    <t>Замеры сопротивления изоляции проводов</t>
  </si>
  <si>
    <t>Прочие работы по содержанию эл.оборудования</t>
  </si>
  <si>
    <t>Харченко О.Е.</t>
  </si>
  <si>
    <r>
      <t>по адресу:      ул._</t>
    </r>
    <r>
      <rPr>
        <b/>
        <u val="single"/>
        <sz val="11"/>
        <rFont val="Arial"/>
        <family val="2"/>
      </rPr>
      <t>Ленина, 125</t>
    </r>
    <r>
      <rPr>
        <b/>
        <sz val="11"/>
        <rFont val="Arial"/>
        <family val="2"/>
      </rPr>
      <t xml:space="preserve">_____________ </t>
    </r>
  </si>
  <si>
    <r>
      <t xml:space="preserve">по   содержанию и текущему ремонту </t>
    </r>
    <r>
      <rPr>
        <b/>
        <sz val="12"/>
        <rFont val="Times New Roman"/>
        <family val="1"/>
      </rPr>
      <t>общего   имущества дома за 2010 год</t>
    </r>
  </si>
  <si>
    <r>
      <t xml:space="preserve">          </t>
    </r>
    <r>
      <rPr>
        <b/>
        <sz val="10"/>
        <rFont val="Times New Roman"/>
        <family val="1"/>
      </rPr>
      <t xml:space="preserve">Наименование  работ      </t>
    </r>
  </si>
  <si>
    <r>
      <t>Обработка подвальных помещений от крыс, блох, комаров</t>
    </r>
    <r>
      <rPr>
        <sz val="11"/>
        <rFont val="Arial"/>
        <family val="2"/>
      </rPr>
      <t xml:space="preserve"> (дератизация, дезинсекция)</t>
    </r>
  </si>
  <si>
    <t>по адресу:    ул.  Хабаровская, 44</t>
  </si>
  <si>
    <t>Содержание и текущий ремонт руб.</t>
  </si>
  <si>
    <t>Мелкий ремонт лестниц,крылец</t>
  </si>
  <si>
    <t>Смена муфт, сгонов и прочей арматуры системы отопления</t>
  </si>
  <si>
    <t>2.  РАБОТЫ ПО  ТЕХНИЧЕСКОМУ СОДЕРЖАНИЮ  И ТЕКУЩЕМУ РЕМОНТУ</t>
  </si>
  <si>
    <t>прочистка канализационных сетей</t>
  </si>
  <si>
    <t>2,5 Систем эл.оборудования</t>
  </si>
  <si>
    <t>Итого :</t>
  </si>
  <si>
    <t>Всего по текущему содержанию :</t>
  </si>
  <si>
    <t>3. Ремонтно-аварийное обслуживание:</t>
  </si>
  <si>
    <t>4. Материалы</t>
  </si>
  <si>
    <t>5. Расходы на управление :</t>
  </si>
  <si>
    <t>Ляшкевич А.А.</t>
  </si>
  <si>
    <t>Ремонт крылец</t>
  </si>
  <si>
    <t>Осмотр кровли , частичный ремонт после стихии</t>
  </si>
  <si>
    <t>Дератизация, дезинсекция</t>
  </si>
  <si>
    <t>Вывоз бытового мусора и КГМ</t>
  </si>
  <si>
    <t xml:space="preserve">Уборка лестничных клеток </t>
  </si>
  <si>
    <t xml:space="preserve">Очистка кровли от снега и наледи </t>
  </si>
  <si>
    <t>1.САНИТАРНОЕ СОДЕРЖАНИЕ ДОМА :</t>
  </si>
  <si>
    <t>2. РАБОТЫ ПО  ТЕХНИЧЕСКОМУ СОДЕРЖАНИЮ И ТЕКУЩЕМУ РЕМОНТУ:</t>
  </si>
  <si>
    <t>2.3 Систем канализации</t>
  </si>
  <si>
    <t>2.4 Систем эл.оборудования</t>
  </si>
  <si>
    <t>5. Расходы на управление:</t>
  </si>
  <si>
    <t>Всего :</t>
  </si>
  <si>
    <t>по адресу:    ул.  Хабаровская, 58</t>
  </si>
  <si>
    <t>Ед. изм.</t>
  </si>
  <si>
    <t xml:space="preserve">                       Директор ООО "ЖЭУ-3"</t>
  </si>
  <si>
    <r>
      <t>по адресу:      ул._</t>
    </r>
    <r>
      <rPr>
        <b/>
        <u val="single"/>
        <sz val="11"/>
        <rFont val="Arial"/>
        <family val="2"/>
      </rPr>
      <t>Ленина, 127</t>
    </r>
    <r>
      <rPr>
        <b/>
        <sz val="11"/>
        <rFont val="Arial"/>
        <family val="2"/>
      </rPr>
      <t xml:space="preserve">_____________ </t>
    </r>
  </si>
  <si>
    <r>
      <t>по адресу:      ул._</t>
    </r>
    <r>
      <rPr>
        <b/>
        <u val="single"/>
        <sz val="11"/>
        <rFont val="Arial"/>
        <family val="2"/>
      </rPr>
      <t>Ленина, 171</t>
    </r>
    <r>
      <rPr>
        <b/>
        <sz val="11"/>
        <rFont val="Arial"/>
        <family val="2"/>
      </rPr>
      <t xml:space="preserve">_____________ </t>
    </r>
  </si>
  <si>
    <r>
      <t>по адресу:      ул._</t>
    </r>
    <r>
      <rPr>
        <b/>
        <u val="single"/>
        <sz val="11"/>
        <rFont val="Arial"/>
        <family val="2"/>
      </rPr>
      <t>Ленина, 182</t>
    </r>
    <r>
      <rPr>
        <b/>
        <sz val="11"/>
        <rFont val="Arial"/>
        <family val="2"/>
      </rPr>
      <t xml:space="preserve">____________ </t>
    </r>
  </si>
  <si>
    <t>Прочистка, осмотр канализационных сетей</t>
  </si>
  <si>
    <t xml:space="preserve">Работы по содержанию системы водоснабжения </t>
  </si>
  <si>
    <t>Прочие работы по содержанию отопления</t>
  </si>
  <si>
    <t>Ремонт конструктивных элементов зданий</t>
  </si>
  <si>
    <t>Прочие затраты по управлению</t>
  </si>
  <si>
    <t>Прочие работы по содержанию фундаментов</t>
  </si>
  <si>
    <t>Дератизация и дезинсекция</t>
  </si>
  <si>
    <t>Прочие</t>
  </si>
  <si>
    <t>Прочие работы по содержанию кровли</t>
  </si>
  <si>
    <t>Ремонт кровли</t>
  </si>
  <si>
    <r>
      <t>по адресу:      ул._</t>
    </r>
    <r>
      <rPr>
        <b/>
        <u val="single"/>
        <sz val="11"/>
        <rFont val="Arial"/>
        <family val="2"/>
      </rPr>
      <t>Амурская 1</t>
    </r>
    <r>
      <rPr>
        <b/>
        <sz val="11"/>
        <rFont val="Arial"/>
        <family val="2"/>
      </rPr>
      <t xml:space="preserve">___________ </t>
    </r>
  </si>
  <si>
    <r>
      <t>по адресу:      ул._</t>
    </r>
    <r>
      <rPr>
        <b/>
        <u val="single"/>
        <sz val="11"/>
        <rFont val="Arial"/>
        <family val="2"/>
      </rPr>
      <t>Амурская 29</t>
    </r>
    <r>
      <rPr>
        <b/>
        <sz val="11"/>
        <rFont val="Arial"/>
        <family val="2"/>
      </rPr>
      <t xml:space="preserve">___________ </t>
    </r>
  </si>
  <si>
    <r>
      <t>по адресу:      ул._</t>
    </r>
    <r>
      <rPr>
        <b/>
        <u val="single"/>
        <sz val="11"/>
        <rFont val="Arial"/>
        <family val="2"/>
      </rPr>
      <t>Амурская 4</t>
    </r>
    <r>
      <rPr>
        <b/>
        <sz val="11"/>
        <rFont val="Arial"/>
        <family val="2"/>
      </rPr>
      <t xml:space="preserve">___________ </t>
    </r>
  </si>
  <si>
    <r>
      <t>по адресу:      ул._</t>
    </r>
    <r>
      <rPr>
        <b/>
        <u val="single"/>
        <sz val="11"/>
        <rFont val="Arial"/>
        <family val="2"/>
      </rPr>
      <t>Амурская 6</t>
    </r>
    <r>
      <rPr>
        <b/>
        <sz val="11"/>
        <rFont val="Arial"/>
        <family val="2"/>
      </rPr>
      <t xml:space="preserve">___________ </t>
    </r>
  </si>
  <si>
    <r>
      <t>по адресу:      ул._</t>
    </r>
    <r>
      <rPr>
        <b/>
        <u val="single"/>
        <sz val="11"/>
        <rFont val="Arial"/>
        <family val="2"/>
      </rPr>
      <t>Амурская 65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</si>
  <si>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Дзержинского 22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</si>
  <si>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Дзержинского 38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</si>
  <si>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Дзержинского 40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</si>
  <si>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Карла Маркса 25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</si>
  <si>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Карла Маркса 27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</si>
  <si>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Карла Маркса 29</t>
    </r>
    <r>
      <rPr>
        <b/>
        <sz val="11"/>
        <rFont val="Arial"/>
        <family val="2"/>
      </rPr>
      <t xml:space="preserve">__________ </t>
    </r>
  </si>
  <si>
    <r>
      <t>по адресу:      ул._</t>
    </r>
    <r>
      <rPr>
        <b/>
        <u val="single"/>
        <sz val="11"/>
        <rFont val="Arial"/>
        <family val="2"/>
      </rPr>
      <t>Карла Маркса 31</t>
    </r>
    <r>
      <rPr>
        <b/>
        <sz val="11"/>
        <rFont val="Arial"/>
        <family val="2"/>
      </rPr>
      <t xml:space="preserve">__________ </t>
    </r>
  </si>
  <si>
    <t>м.п труб</t>
  </si>
  <si>
    <t>Замена сгонов,муфт и прочей арматуры отопления</t>
  </si>
  <si>
    <t xml:space="preserve">Открытие,закрытие регулирующих органов ( вентилей, задвижек </t>
  </si>
  <si>
    <t>прочие работы по содержанию электропроводки</t>
  </si>
  <si>
    <t>ремонт розеток,выключателей</t>
  </si>
  <si>
    <t>Прочие работы по содержанию контейнерных площадок</t>
  </si>
  <si>
    <t>Прочие работы по содержанию МАФ</t>
  </si>
  <si>
    <t>Смена оконных и дверных приборов ( в т.ч.запирающих устройств дверей и чердачных люков )</t>
  </si>
  <si>
    <t>2.5 Системы энергооборудования</t>
  </si>
  <si>
    <t>Всего</t>
  </si>
  <si>
    <t>3. Ремонтно-аварийные работы</t>
  </si>
  <si>
    <t>Окраска фасада</t>
  </si>
  <si>
    <t xml:space="preserve">Смена оконных и дверных приборов( В т.ч.запирающих устройств дверей и чердачных люков ) </t>
  </si>
  <si>
    <t xml:space="preserve">Промывка канализационных сетей здания </t>
  </si>
  <si>
    <t>100 м труб</t>
  </si>
  <si>
    <t>прочистка канализационной гребенки</t>
  </si>
  <si>
    <t>подчеканка канализационных стыков</t>
  </si>
  <si>
    <t xml:space="preserve">2.6 Системы энергооборудования </t>
  </si>
  <si>
    <t xml:space="preserve"> Мелкий ремонт ( замена ) электропроводки</t>
  </si>
  <si>
    <t>опрессовка системы отопления</t>
  </si>
  <si>
    <t>прочие работы по содержанию оконных и дверных заполнений</t>
  </si>
  <si>
    <t>Промазка свищей и фальцев</t>
  </si>
  <si>
    <t>Замена пакетных переключателей вводно-распред.утройств</t>
  </si>
  <si>
    <t>Всего  по текущему содержанию и ремонту:</t>
  </si>
  <si>
    <t>2.2.Системы отопления</t>
  </si>
  <si>
    <t>Опрессовка системы отопления</t>
  </si>
  <si>
    <t>2.6. Системы электрооборудования</t>
  </si>
  <si>
    <t>Ремонт и ревизия задвижек  системы отопления</t>
  </si>
  <si>
    <t>смена сгонов,муфт и прочей арматуры отопления</t>
  </si>
  <si>
    <r>
      <t>по адресу:      ул._</t>
    </r>
    <r>
      <rPr>
        <b/>
        <u val="single"/>
        <sz val="11"/>
        <rFont val="Arial"/>
        <family val="2"/>
      </rPr>
      <t>Коммунистический проспект 74</t>
    </r>
    <r>
      <rPr>
        <b/>
        <sz val="11"/>
        <rFont val="Arial"/>
        <family val="2"/>
      </rPr>
      <t xml:space="preserve">__________ </t>
    </r>
  </si>
  <si>
    <t>по адресу:      ул. Карла Маркса, 25</t>
  </si>
  <si>
    <r>
      <t>по адресу:      ул._</t>
    </r>
    <r>
      <rPr>
        <b/>
        <u val="single"/>
        <sz val="11"/>
        <rFont val="Arial"/>
        <family val="2"/>
      </rPr>
      <t>Курильская 33а</t>
    </r>
    <r>
      <rPr>
        <b/>
        <sz val="11"/>
        <rFont val="Arial"/>
        <family val="2"/>
      </rPr>
      <t xml:space="preserve">_________ </t>
    </r>
  </si>
  <si>
    <r>
      <t>по адресу:      ул._</t>
    </r>
    <r>
      <rPr>
        <b/>
        <u val="single"/>
        <sz val="11"/>
        <rFont val="Arial"/>
        <family val="2"/>
      </rPr>
      <t>Курильская 34</t>
    </r>
    <r>
      <rPr>
        <b/>
        <sz val="11"/>
        <rFont val="Arial"/>
        <family val="2"/>
      </rPr>
      <t xml:space="preserve">_________ </t>
    </r>
  </si>
  <si>
    <r>
      <t>по адресу:      ул._</t>
    </r>
    <r>
      <rPr>
        <b/>
        <u val="single"/>
        <sz val="11"/>
        <rFont val="Arial"/>
        <family val="2"/>
      </rPr>
      <t>Курильская 43 а</t>
    </r>
    <r>
      <rPr>
        <b/>
        <sz val="11"/>
        <rFont val="Arial"/>
        <family val="2"/>
      </rPr>
      <t xml:space="preserve">_________ </t>
    </r>
  </si>
  <si>
    <r>
      <t>по адресу:      ул._</t>
    </r>
    <r>
      <rPr>
        <b/>
        <u val="single"/>
        <sz val="11"/>
        <rFont val="Arial"/>
        <family val="2"/>
      </rPr>
      <t>Курильская 52</t>
    </r>
    <r>
      <rPr>
        <b/>
        <sz val="11"/>
        <rFont val="Arial"/>
        <family val="2"/>
      </rPr>
      <t xml:space="preserve">_________ </t>
    </r>
  </si>
  <si>
    <t>по адресу:    ул.  Хабаровская,58</t>
  </si>
  <si>
    <t>Смена участкатрубы ХВС</t>
  </si>
  <si>
    <t>Замена пакетных переключателей,вводно-распред.устройств</t>
  </si>
  <si>
    <t>Очиска в/домовых территорий от снега, вывоз снега и мусора</t>
  </si>
  <si>
    <r>
      <t>по адресу:      ул._</t>
    </r>
    <r>
      <rPr>
        <b/>
        <u val="single"/>
        <sz val="11"/>
        <rFont val="Arial"/>
        <family val="2"/>
      </rPr>
      <t>Курильская 59</t>
    </r>
    <r>
      <rPr>
        <b/>
        <sz val="11"/>
        <rFont val="Arial"/>
        <family val="2"/>
      </rPr>
      <t xml:space="preserve">_________ </t>
    </r>
  </si>
  <si>
    <t xml:space="preserve">
,
</t>
  </si>
  <si>
    <t>Ремонт шиферной кровли кровли</t>
  </si>
  <si>
    <t>Ремонт подъезда</t>
  </si>
  <si>
    <t>Ремонт подъензда</t>
  </si>
  <si>
    <t>5.Лифты</t>
  </si>
  <si>
    <t>6.Мусоропроводы</t>
  </si>
  <si>
    <t>5. Мусоропроводы</t>
  </si>
  <si>
    <t>6. Лифты</t>
  </si>
  <si>
    <t>Система ГВС</t>
  </si>
  <si>
    <t>КАПИТАЛЬНЫЙ РЕМОНТ КОЗЫРЬКОВ</t>
  </si>
  <si>
    <t>Работы по содержанию кровли</t>
  </si>
  <si>
    <t>Работы по содержанию эл.оборудования</t>
  </si>
  <si>
    <r>
      <t>по адресу:      ул._</t>
    </r>
    <r>
      <rPr>
        <b/>
        <u val="single"/>
        <sz val="11"/>
        <rFont val="Arial"/>
        <family val="2"/>
      </rPr>
      <t>Мира 88</t>
    </r>
    <r>
      <rPr>
        <b/>
        <sz val="11"/>
        <rFont val="Arial"/>
        <family val="2"/>
      </rPr>
      <t xml:space="preserve">____________ </t>
    </r>
  </si>
  <si>
    <t>Внутренняя отделка</t>
  </si>
  <si>
    <r>
      <t>по адресу:      ул._</t>
    </r>
    <r>
      <rPr>
        <b/>
        <u val="single"/>
        <sz val="12"/>
        <rFont val="Arial"/>
        <family val="2"/>
      </rPr>
      <t>Невельского, 27</t>
    </r>
    <r>
      <rPr>
        <b/>
        <sz val="12"/>
        <rFont val="Arial"/>
        <family val="2"/>
      </rPr>
      <t xml:space="preserve">____________ </t>
    </r>
  </si>
  <si>
    <t>Харченко О.Е</t>
  </si>
  <si>
    <r>
      <t>по адресу:      ул._Н</t>
    </r>
    <r>
      <rPr>
        <b/>
        <u val="single"/>
        <sz val="11"/>
        <rFont val="Arial"/>
        <family val="2"/>
      </rPr>
      <t>евельского 34 б</t>
    </r>
    <r>
      <rPr>
        <b/>
        <sz val="11"/>
        <rFont val="Arial"/>
        <family val="2"/>
      </rPr>
      <t xml:space="preserve">_________ </t>
    </r>
  </si>
  <si>
    <r>
      <t>по адресу:      ул._</t>
    </r>
    <r>
      <rPr>
        <b/>
        <u val="single"/>
        <sz val="11"/>
        <rFont val="Arial"/>
        <family val="2"/>
      </rPr>
      <t>Невельского 36</t>
    </r>
    <r>
      <rPr>
        <b/>
        <sz val="11"/>
        <rFont val="Arial"/>
        <family val="2"/>
      </rPr>
      <t xml:space="preserve">________ </t>
    </r>
  </si>
  <si>
    <r>
      <t>по адресу:      ул._</t>
    </r>
    <r>
      <rPr>
        <b/>
        <u val="single"/>
        <sz val="11"/>
        <rFont val="Arial"/>
        <family val="2"/>
      </rPr>
      <t>Невельского 42</t>
    </r>
    <r>
      <rPr>
        <b/>
        <sz val="11"/>
        <rFont val="Arial"/>
        <family val="2"/>
      </rPr>
      <t xml:space="preserve">_________ </t>
    </r>
  </si>
  <si>
    <r>
      <t>по адресу:      ул._</t>
    </r>
    <r>
      <rPr>
        <b/>
        <u val="single"/>
        <sz val="11"/>
        <rFont val="Arial"/>
        <family val="2"/>
      </rPr>
      <t>Сахалинская 45</t>
    </r>
    <r>
      <rPr>
        <b/>
        <sz val="11"/>
        <rFont val="Arial"/>
        <family val="2"/>
      </rPr>
      <t xml:space="preserve">________ </t>
    </r>
  </si>
  <si>
    <r>
      <t>по адресу:      ул._</t>
    </r>
    <r>
      <rPr>
        <b/>
        <u val="single"/>
        <sz val="11"/>
        <rFont val="Arial"/>
        <family val="2"/>
      </rPr>
      <t>Чехова 2 а</t>
    </r>
    <r>
      <rPr>
        <b/>
        <sz val="11"/>
        <rFont val="Arial"/>
        <family val="2"/>
      </rPr>
      <t xml:space="preserve">_________ </t>
    </r>
  </si>
  <si>
    <t>ППР этажных щитков.</t>
  </si>
  <si>
    <r>
      <t xml:space="preserve">по   содержанию и текущему ремонту </t>
    </r>
    <r>
      <rPr>
        <b/>
        <sz val="14"/>
        <rFont val="Times New Roman"/>
        <family val="1"/>
      </rPr>
      <t>общего   имущества дома за 2010 год</t>
    </r>
  </si>
  <si>
    <t xml:space="preserve">                        Приложение №1</t>
  </si>
  <si>
    <t>1. Отопление, горячее и холодное водоснабжение</t>
  </si>
  <si>
    <t>2.Электроснабжение</t>
  </si>
  <si>
    <t>Прочие работы по внутренней отделке помещений</t>
  </si>
  <si>
    <t>Итого</t>
  </si>
  <si>
    <t>Ремонт шиферной кровли</t>
  </si>
  <si>
    <t>Ремонт подъездов</t>
  </si>
  <si>
    <t>Обслуживание лифтов</t>
  </si>
  <si>
    <t>Обслуживание  мусоропровода</t>
  </si>
  <si>
    <t>по адресу:      ул. Ленина, 198</t>
  </si>
  <si>
    <t>Прочистка канализационной гребенки</t>
  </si>
  <si>
    <t>по адресу:    ул.  Хабаровская, 42</t>
  </si>
  <si>
    <t>ремонт</t>
  </si>
  <si>
    <t>и текущий ремонт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</si>
  <si>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</si>
  <si>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3.Электроснабжение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</si>
</sst>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_ ;\-#,##0.00\ "/>
    <numFmt numFmtId="192" formatCode="0.00_ ;\-0.00\ "/>
  </numFmts>
  <fonts count="8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 Black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Times New Roman"/>
      <family val="1"/>
    </font>
    <font>
      <b/>
      <u val="single"/>
      <sz val="12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Arial Black"/>
      <family val="2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9" fillId="7" borderId="1" applyNumberFormat="0" applyAlignment="0" applyProtection="0"/>
    <xf numFmtId="0" fontId="70" fillId="20" borderId="2" applyNumberFormat="0" applyAlignment="0" applyProtection="0"/>
    <xf numFmtId="0" fontId="71" fillId="20" borderId="1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1" borderId="7" applyNumberFormat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79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4" borderId="0" applyNumberFormat="0" applyBorder="0" applyAlignment="0" applyProtection="0"/>
  </cellStyleXfs>
  <cellXfs count="14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justify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4" xfId="0" applyFont="1" applyBorder="1" applyAlignment="1">
      <alignment/>
    </xf>
    <xf numFmtId="0" fontId="4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 wrapText="1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179" fontId="7" fillId="0" borderId="18" xfId="60" applyFont="1" applyBorder="1" applyAlignment="1">
      <alignment vertical="top" wrapText="1"/>
    </xf>
    <xf numFmtId="179" fontId="7" fillId="0" borderId="12" xfId="6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24" fillId="0" borderId="12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179" fontId="3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43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6" fillId="0" borderId="12" xfId="0" applyFont="1" applyBorder="1" applyAlignment="1">
      <alignment wrapText="1"/>
    </xf>
    <xf numFmtId="0" fontId="26" fillId="0" borderId="2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9" fillId="0" borderId="0" xfId="0" applyFont="1" applyBorder="1" applyAlignment="1">
      <alignment vertical="top" wrapText="1"/>
    </xf>
    <xf numFmtId="0" fontId="26" fillId="0" borderId="2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0" xfId="0" applyFont="1" applyBorder="1" applyAlignment="1">
      <alignment/>
    </xf>
    <xf numFmtId="0" fontId="31" fillId="0" borderId="12" xfId="0" applyFont="1" applyBorder="1" applyAlignment="1">
      <alignment wrapText="1"/>
    </xf>
    <xf numFmtId="0" fontId="32" fillId="0" borderId="12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2" xfId="0" applyFont="1" applyBorder="1" applyAlignment="1">
      <alignment/>
    </xf>
    <xf numFmtId="190" fontId="26" fillId="0" borderId="22" xfId="0" applyNumberFormat="1" applyFont="1" applyBorder="1" applyAlignment="1">
      <alignment/>
    </xf>
    <xf numFmtId="2" fontId="26" fillId="0" borderId="12" xfId="0" applyNumberFormat="1" applyFont="1" applyFill="1" applyBorder="1" applyAlignment="1">
      <alignment/>
    </xf>
    <xf numFmtId="0" fontId="1" fillId="0" borderId="27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43" fontId="3" fillId="0" borderId="11" xfId="0" applyNumberFormat="1" applyFont="1" applyBorder="1" applyAlignment="1">
      <alignment horizontal="right" vertical="top" wrapText="1"/>
    </xf>
    <xf numFmtId="0" fontId="33" fillId="0" borderId="12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21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19" fillId="0" borderId="28" xfId="0" applyFont="1" applyBorder="1" applyAlignment="1">
      <alignment vertical="center"/>
    </xf>
    <xf numFmtId="179" fontId="34" fillId="0" borderId="12" xfId="60" applyFont="1" applyBorder="1" applyAlignment="1">
      <alignment vertical="center" wrapText="1"/>
    </xf>
    <xf numFmtId="43" fontId="19" fillId="0" borderId="11" xfId="0" applyNumberFormat="1" applyFont="1" applyBorder="1" applyAlignment="1">
      <alignment vertical="top" wrapText="1"/>
    </xf>
    <xf numFmtId="0" fontId="35" fillId="0" borderId="13" xfId="0" applyFont="1" applyBorder="1" applyAlignment="1">
      <alignment/>
    </xf>
    <xf numFmtId="0" fontId="19" fillId="0" borderId="21" xfId="0" applyFont="1" applyBorder="1" applyAlignment="1">
      <alignment wrapText="1"/>
    </xf>
    <xf numFmtId="0" fontId="19" fillId="0" borderId="2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179" fontId="19" fillId="0" borderId="11" xfId="0" applyNumberFormat="1" applyFont="1" applyBorder="1" applyAlignment="1">
      <alignment vertical="top" wrapText="1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2" xfId="0" applyFont="1" applyBorder="1" applyAlignment="1">
      <alignment vertical="top" wrapText="1"/>
    </xf>
    <xf numFmtId="0" fontId="13" fillId="0" borderId="28" xfId="0" applyFont="1" applyBorder="1" applyAlignment="1">
      <alignment horizontal="center"/>
    </xf>
    <xf numFmtId="0" fontId="43" fillId="0" borderId="12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41" fillId="0" borderId="22" xfId="0" applyFont="1" applyBorder="1" applyAlignment="1">
      <alignment/>
    </xf>
    <xf numFmtId="0" fontId="44" fillId="0" borderId="12" xfId="0" applyFont="1" applyBorder="1" applyAlignment="1">
      <alignment/>
    </xf>
    <xf numFmtId="0" fontId="19" fillId="0" borderId="27" xfId="0" applyFont="1" applyBorder="1" applyAlignment="1">
      <alignment wrapText="1"/>
    </xf>
    <xf numFmtId="0" fontId="4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21" xfId="0" applyFont="1" applyBorder="1" applyAlignment="1">
      <alignment/>
    </xf>
    <xf numFmtId="0" fontId="47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4" xfId="0" applyFont="1" applyBorder="1" applyAlignment="1">
      <alignment/>
    </xf>
    <xf numFmtId="2" fontId="19" fillId="0" borderId="21" xfId="0" applyNumberFormat="1" applyFont="1" applyBorder="1" applyAlignment="1">
      <alignment/>
    </xf>
    <xf numFmtId="0" fontId="13" fillId="0" borderId="21" xfId="0" applyFont="1" applyBorder="1" applyAlignment="1">
      <alignment wrapText="1"/>
    </xf>
    <xf numFmtId="179" fontId="48" fillId="0" borderId="12" xfId="60" applyFont="1" applyBorder="1" applyAlignment="1">
      <alignment horizontal="center" vertical="top" wrapText="1"/>
    </xf>
    <xf numFmtId="0" fontId="49" fillId="0" borderId="12" xfId="0" applyFont="1" applyBorder="1" applyAlignment="1">
      <alignment wrapText="1"/>
    </xf>
    <xf numFmtId="0" fontId="24" fillId="0" borderId="22" xfId="0" applyFont="1" applyBorder="1" applyAlignment="1">
      <alignment/>
    </xf>
    <xf numFmtId="43" fontId="19" fillId="0" borderId="11" xfId="0" applyNumberFormat="1" applyFont="1" applyFill="1" applyBorder="1" applyAlignment="1">
      <alignment vertical="top" wrapText="1"/>
    </xf>
    <xf numFmtId="2" fontId="41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7" fillId="0" borderId="26" xfId="0" applyFont="1" applyFill="1" applyBorder="1" applyAlignment="1">
      <alignment/>
    </xf>
    <xf numFmtId="179" fontId="48" fillId="0" borderId="12" xfId="6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37" fillId="0" borderId="10" xfId="0" applyFont="1" applyFill="1" applyBorder="1" applyAlignment="1">
      <alignment horizontal="right"/>
    </xf>
    <xf numFmtId="0" fontId="34" fillId="0" borderId="12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12" xfId="0" applyFont="1" applyFill="1" applyBorder="1" applyAlignment="1">
      <alignment/>
    </xf>
    <xf numFmtId="4" fontId="34" fillId="0" borderId="12" xfId="0" applyNumberFormat="1" applyFont="1" applyBorder="1" applyAlignment="1">
      <alignment/>
    </xf>
    <xf numFmtId="4" fontId="34" fillId="0" borderId="22" xfId="0" applyNumberFormat="1" applyFont="1" applyBorder="1" applyAlignment="1">
      <alignment horizontal="center"/>
    </xf>
    <xf numFmtId="2" fontId="34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7" fillId="0" borderId="32" xfId="0" applyFont="1" applyBorder="1" applyAlignment="1">
      <alignment/>
    </xf>
    <xf numFmtId="0" fontId="19" fillId="0" borderId="33" xfId="0" applyFont="1" applyBorder="1" applyAlignment="1">
      <alignment wrapText="1"/>
    </xf>
    <xf numFmtId="0" fontId="0" fillId="0" borderId="13" xfId="0" applyFont="1" applyBorder="1" applyAlignment="1">
      <alignment/>
    </xf>
    <xf numFmtId="0" fontId="19" fillId="0" borderId="21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0" fillId="0" borderId="0" xfId="0" applyFont="1" applyAlignment="1">
      <alignment wrapText="1"/>
    </xf>
    <xf numFmtId="0" fontId="19" fillId="0" borderId="26" xfId="0" applyFont="1" applyFill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34" xfId="0" applyFont="1" applyBorder="1" applyAlignment="1">
      <alignment horizontal="left"/>
    </xf>
    <xf numFmtId="0" fontId="37" fillId="0" borderId="35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2" fontId="19" fillId="0" borderId="38" xfId="0" applyNumberFormat="1" applyFont="1" applyBorder="1" applyAlignment="1">
      <alignment/>
    </xf>
    <xf numFmtId="0" fontId="37" fillId="0" borderId="39" xfId="0" applyFont="1" applyBorder="1" applyAlignment="1">
      <alignment/>
    </xf>
    <xf numFmtId="0" fontId="46" fillId="0" borderId="40" xfId="0" applyFont="1" applyBorder="1" applyAlignment="1">
      <alignment/>
    </xf>
    <xf numFmtId="2" fontId="19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50" fillId="0" borderId="12" xfId="0" applyNumberFormat="1" applyFont="1" applyFill="1" applyBorder="1" applyAlignment="1">
      <alignment/>
    </xf>
    <xf numFmtId="2" fontId="51" fillId="0" borderId="12" xfId="0" applyNumberFormat="1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0" fillId="0" borderId="37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6" xfId="0" applyFont="1" applyFill="1" applyBorder="1" applyAlignment="1">
      <alignment/>
    </xf>
    <xf numFmtId="0" fontId="45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45" fillId="0" borderId="36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6" xfId="0" applyFont="1" applyFill="1" applyBorder="1" applyAlignment="1">
      <alignment/>
    </xf>
    <xf numFmtId="0" fontId="13" fillId="0" borderId="41" xfId="0" applyFont="1" applyBorder="1" applyAlignment="1">
      <alignment wrapText="1"/>
    </xf>
    <xf numFmtId="2" fontId="19" fillId="0" borderId="3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0" fontId="45" fillId="0" borderId="23" xfId="0" applyFont="1" applyBorder="1" applyAlignment="1">
      <alignment/>
    </xf>
    <xf numFmtId="0" fontId="37" fillId="0" borderId="28" xfId="0" applyFont="1" applyBorder="1" applyAlignment="1">
      <alignment/>
    </xf>
    <xf numFmtId="2" fontId="19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179" fontId="7" fillId="0" borderId="12" xfId="6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3" fontId="3" fillId="0" borderId="11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43" fontId="19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/>
    </xf>
    <xf numFmtId="4" fontId="29" fillId="0" borderId="12" xfId="0" applyNumberFormat="1" applyFont="1" applyBorder="1" applyAlignment="1">
      <alignment/>
    </xf>
    <xf numFmtId="0" fontId="27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2" fontId="27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2" fontId="29" fillId="0" borderId="12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6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13" fillId="0" borderId="26" xfId="0" applyNumberFormat="1" applyFont="1" applyFill="1" applyBorder="1" applyAlignment="1">
      <alignment/>
    </xf>
    <xf numFmtId="179" fontId="51" fillId="0" borderId="36" xfId="6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43" fontId="19" fillId="0" borderId="26" xfId="0" applyNumberFormat="1" applyFont="1" applyFill="1" applyBorder="1" applyAlignment="1">
      <alignment/>
    </xf>
    <xf numFmtId="43" fontId="3" fillId="0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left"/>
    </xf>
    <xf numFmtId="4" fontId="34" fillId="0" borderId="28" xfId="0" applyNumberFormat="1" applyFont="1" applyBorder="1" applyAlignment="1">
      <alignment horizontal="center"/>
    </xf>
    <xf numFmtId="179" fontId="29" fillId="0" borderId="36" xfId="60" applyFont="1" applyFill="1" applyBorder="1" applyAlignment="1">
      <alignment horizontal="center" vertical="top" wrapText="1"/>
    </xf>
    <xf numFmtId="43" fontId="13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7" fillId="0" borderId="43" xfId="0" applyFont="1" applyBorder="1" applyAlignment="1">
      <alignment horizontal="center"/>
    </xf>
    <xf numFmtId="2" fontId="3" fillId="0" borderId="26" xfId="0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17" fillId="0" borderId="44" xfId="0" applyFont="1" applyBorder="1" applyAlignment="1">
      <alignment/>
    </xf>
    <xf numFmtId="0" fontId="37" fillId="0" borderId="45" xfId="0" applyFont="1" applyFill="1" applyBorder="1" applyAlignment="1">
      <alignment/>
    </xf>
    <xf numFmtId="0" fontId="19" fillId="0" borderId="31" xfId="0" applyFont="1" applyFill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7" xfId="0" applyFont="1" applyFill="1" applyBorder="1" applyAlignment="1">
      <alignment/>
    </xf>
    <xf numFmtId="0" fontId="52" fillId="0" borderId="32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9" fillId="0" borderId="45" xfId="0" applyFont="1" applyFill="1" applyBorder="1" applyAlignment="1">
      <alignment/>
    </xf>
    <xf numFmtId="0" fontId="19" fillId="0" borderId="45" xfId="0" applyFont="1" applyFill="1" applyBorder="1" applyAlignment="1">
      <alignment horizontal="left"/>
    </xf>
    <xf numFmtId="0" fontId="19" fillId="0" borderId="23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2" fontId="41" fillId="24" borderId="12" xfId="0" applyNumberFormat="1" applyFont="1" applyFill="1" applyBorder="1" applyAlignment="1">
      <alignment/>
    </xf>
    <xf numFmtId="0" fontId="34" fillId="24" borderId="12" xfId="0" applyFont="1" applyFill="1" applyBorder="1" applyAlignment="1">
      <alignment/>
    </xf>
    <xf numFmtId="2" fontId="34" fillId="24" borderId="12" xfId="0" applyNumberFormat="1" applyFont="1" applyFill="1" applyBorder="1" applyAlignment="1">
      <alignment/>
    </xf>
    <xf numFmtId="0" fontId="37" fillId="24" borderId="19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37" fillId="24" borderId="30" xfId="0" applyFont="1" applyFill="1" applyBorder="1" applyAlignment="1">
      <alignment/>
    </xf>
    <xf numFmtId="0" fontId="37" fillId="24" borderId="13" xfId="0" applyFont="1" applyFill="1" applyBorder="1" applyAlignment="1">
      <alignment/>
    </xf>
    <xf numFmtId="0" fontId="37" fillId="24" borderId="31" xfId="0" applyFont="1" applyFill="1" applyBorder="1" applyAlignment="1">
      <alignment/>
    </xf>
    <xf numFmtId="0" fontId="37" fillId="24" borderId="32" xfId="0" applyFont="1" applyFill="1" applyBorder="1" applyAlignment="1">
      <alignment/>
    </xf>
    <xf numFmtId="0" fontId="35" fillId="24" borderId="10" xfId="0" applyFont="1" applyFill="1" applyBorder="1" applyAlignment="1">
      <alignment horizontal="center"/>
    </xf>
    <xf numFmtId="0" fontId="35" fillId="24" borderId="13" xfId="0" applyFont="1" applyFill="1" applyBorder="1" applyAlignment="1">
      <alignment/>
    </xf>
    <xf numFmtId="0" fontId="37" fillId="24" borderId="13" xfId="0" applyFont="1" applyFill="1" applyBorder="1" applyAlignment="1">
      <alignment horizontal="left"/>
    </xf>
    <xf numFmtId="0" fontId="37" fillId="24" borderId="21" xfId="0" applyFont="1" applyFill="1" applyBorder="1" applyAlignment="1">
      <alignment/>
    </xf>
    <xf numFmtId="0" fontId="19" fillId="24" borderId="21" xfId="0" applyFont="1" applyFill="1" applyBorder="1" applyAlignment="1">
      <alignment wrapText="1"/>
    </xf>
    <xf numFmtId="0" fontId="49" fillId="24" borderId="12" xfId="0" applyFont="1" applyFill="1" applyBorder="1" applyAlignment="1">
      <alignment wrapText="1"/>
    </xf>
    <xf numFmtId="0" fontId="41" fillId="24" borderId="22" xfId="0" applyFont="1" applyFill="1" applyBorder="1" applyAlignment="1">
      <alignment/>
    </xf>
    <xf numFmtId="2" fontId="37" fillId="0" borderId="21" xfId="0" applyNumberFormat="1" applyFont="1" applyFill="1" applyBorder="1" applyAlignment="1">
      <alignment/>
    </xf>
    <xf numFmtId="2" fontId="37" fillId="0" borderId="31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55" fillId="0" borderId="13" xfId="0" applyFont="1" applyBorder="1" applyAlignment="1">
      <alignment/>
    </xf>
    <xf numFmtId="2" fontId="37" fillId="0" borderId="10" xfId="0" applyNumberFormat="1" applyFont="1" applyFill="1" applyBorder="1" applyAlignment="1">
      <alignment horizontal="right"/>
    </xf>
    <xf numFmtId="2" fontId="37" fillId="0" borderId="42" xfId="0" applyNumberFormat="1" applyFont="1" applyFill="1" applyBorder="1" applyAlignment="1">
      <alignment/>
    </xf>
    <xf numFmtId="0" fontId="37" fillId="24" borderId="2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55" fillId="3" borderId="13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/>
    </xf>
    <xf numFmtId="0" fontId="35" fillId="3" borderId="13" xfId="0" applyFont="1" applyFill="1" applyBorder="1" applyAlignment="1">
      <alignment/>
    </xf>
    <xf numFmtId="0" fontId="37" fillId="3" borderId="24" xfId="0" applyFont="1" applyFill="1" applyBorder="1" applyAlignment="1">
      <alignment/>
    </xf>
    <xf numFmtId="0" fontId="37" fillId="24" borderId="46" xfId="0" applyFont="1" applyFill="1" applyBorder="1" applyAlignment="1">
      <alignment/>
    </xf>
    <xf numFmtId="0" fontId="37" fillId="24" borderId="47" xfId="0" applyFont="1" applyFill="1" applyBorder="1" applyAlignment="1">
      <alignment/>
    </xf>
    <xf numFmtId="0" fontId="37" fillId="0" borderId="47" xfId="0" applyFont="1" applyFill="1" applyBorder="1" applyAlignment="1">
      <alignment/>
    </xf>
    <xf numFmtId="2" fontId="37" fillId="0" borderId="47" xfId="0" applyNumberFormat="1" applyFont="1" applyFill="1" applyBorder="1" applyAlignment="1">
      <alignment/>
    </xf>
    <xf numFmtId="2" fontId="37" fillId="3" borderId="47" xfId="0" applyNumberFormat="1" applyFont="1" applyFill="1" applyBorder="1" applyAlignment="1">
      <alignment/>
    </xf>
    <xf numFmtId="2" fontId="37" fillId="3" borderId="10" xfId="0" applyNumberFormat="1" applyFont="1" applyFill="1" applyBorder="1" applyAlignment="1">
      <alignment horizontal="right"/>
    </xf>
    <xf numFmtId="2" fontId="37" fillId="24" borderId="13" xfId="0" applyNumberFormat="1" applyFont="1" applyFill="1" applyBorder="1" applyAlignment="1">
      <alignment/>
    </xf>
    <xf numFmtId="2" fontId="37" fillId="3" borderId="13" xfId="0" applyNumberFormat="1" applyFont="1" applyFill="1" applyBorder="1" applyAlignment="1">
      <alignment/>
    </xf>
    <xf numFmtId="0" fontId="55" fillId="3" borderId="13" xfId="0" applyFont="1" applyFill="1" applyBorder="1" applyAlignment="1">
      <alignment horizontal="left"/>
    </xf>
    <xf numFmtId="0" fontId="55" fillId="24" borderId="13" xfId="0" applyFont="1" applyFill="1" applyBorder="1" applyAlignment="1">
      <alignment horizontal="left"/>
    </xf>
    <xf numFmtId="2" fontId="19" fillId="0" borderId="13" xfId="0" applyNumberFormat="1" applyFont="1" applyBorder="1" applyAlignment="1">
      <alignment/>
    </xf>
    <xf numFmtId="0" fontId="55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24" borderId="47" xfId="0" applyFont="1" applyFill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37" fillId="25" borderId="10" xfId="0" applyFont="1" applyFill="1" applyBorder="1" applyAlignment="1">
      <alignment/>
    </xf>
    <xf numFmtId="2" fontId="37" fillId="25" borderId="10" xfId="0" applyNumberFormat="1" applyFont="1" applyFill="1" applyBorder="1" applyAlignment="1">
      <alignment/>
    </xf>
    <xf numFmtId="0" fontId="0" fillId="25" borderId="24" xfId="0" applyFont="1" applyFill="1" applyBorder="1" applyAlignment="1">
      <alignment horizontal="center"/>
    </xf>
    <xf numFmtId="0" fontId="0" fillId="25" borderId="24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horizontal="center"/>
    </xf>
    <xf numFmtId="0" fontId="55" fillId="25" borderId="10" xfId="0" applyFont="1" applyFill="1" applyBorder="1" applyAlignment="1">
      <alignment horizontal="center"/>
    </xf>
    <xf numFmtId="0" fontId="55" fillId="25" borderId="10" xfId="0" applyFont="1" applyFill="1" applyBorder="1" applyAlignment="1">
      <alignment/>
    </xf>
    <xf numFmtId="2" fontId="37" fillId="25" borderId="47" xfId="0" applyNumberFormat="1" applyFont="1" applyFill="1" applyBorder="1" applyAlignment="1">
      <alignment/>
    </xf>
    <xf numFmtId="0" fontId="13" fillId="25" borderId="10" xfId="0" applyFont="1" applyFill="1" applyBorder="1" applyAlignment="1">
      <alignment horizontal="center"/>
    </xf>
    <xf numFmtId="0" fontId="37" fillId="25" borderId="24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2" fontId="19" fillId="25" borderId="0" xfId="0" applyNumberFormat="1" applyFont="1" applyFill="1" applyBorder="1" applyAlignment="1">
      <alignment/>
    </xf>
    <xf numFmtId="0" fontId="19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25" borderId="37" xfId="0" applyFont="1" applyFill="1" applyBorder="1" applyAlignment="1">
      <alignment/>
    </xf>
    <xf numFmtId="0" fontId="37" fillId="25" borderId="36" xfId="0" applyFont="1" applyFill="1" applyBorder="1" applyAlignment="1">
      <alignment/>
    </xf>
    <xf numFmtId="0" fontId="37" fillId="25" borderId="5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37" fillId="25" borderId="51" xfId="0" applyFont="1" applyFill="1" applyBorder="1" applyAlignment="1">
      <alignment/>
    </xf>
    <xf numFmtId="0" fontId="0" fillId="25" borderId="48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/>
    </xf>
    <xf numFmtId="0" fontId="37" fillId="25" borderId="37" xfId="0" applyFont="1" applyFill="1" applyBorder="1" applyAlignment="1">
      <alignment/>
    </xf>
    <xf numFmtId="0" fontId="35" fillId="25" borderId="37" xfId="0" applyFont="1" applyFill="1" applyBorder="1" applyAlignment="1">
      <alignment/>
    </xf>
    <xf numFmtId="0" fontId="0" fillId="25" borderId="36" xfId="0" applyFont="1" applyFill="1" applyBorder="1" applyAlignment="1">
      <alignment/>
    </xf>
    <xf numFmtId="0" fontId="13" fillId="0" borderId="24" xfId="0" applyFont="1" applyBorder="1" applyAlignment="1">
      <alignment horizontal="center" vertical="top" wrapText="1"/>
    </xf>
    <xf numFmtId="0" fontId="37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wrapText="1"/>
    </xf>
    <xf numFmtId="0" fontId="37" fillId="25" borderId="10" xfId="0" applyFont="1" applyFill="1" applyBorder="1" applyAlignment="1">
      <alignment wrapText="1"/>
    </xf>
    <xf numFmtId="0" fontId="37" fillId="25" borderId="48" xfId="0" applyFont="1" applyFill="1" applyBorder="1" applyAlignment="1">
      <alignment wrapText="1"/>
    </xf>
    <xf numFmtId="0" fontId="31" fillId="25" borderId="10" xfId="0" applyFont="1" applyFill="1" applyBorder="1" applyAlignment="1">
      <alignment wrapText="1"/>
    </xf>
    <xf numFmtId="0" fontId="31" fillId="25" borderId="51" xfId="0" applyFont="1" applyFill="1" applyBorder="1" applyAlignment="1">
      <alignment/>
    </xf>
    <xf numFmtId="2" fontId="50" fillId="25" borderId="10" xfId="0" applyNumberFormat="1" applyFont="1" applyFill="1" applyBorder="1" applyAlignment="1">
      <alignment/>
    </xf>
    <xf numFmtId="0" fontId="31" fillId="25" borderId="49" xfId="0" applyFont="1" applyFill="1" applyBorder="1" applyAlignment="1">
      <alignment wrapText="1"/>
    </xf>
    <xf numFmtId="0" fontId="31" fillId="25" borderId="0" xfId="0" applyFont="1" applyFill="1" applyBorder="1" applyAlignment="1">
      <alignment/>
    </xf>
    <xf numFmtId="2" fontId="50" fillId="25" borderId="49" xfId="0" applyNumberFormat="1" applyFont="1" applyFill="1" applyBorder="1" applyAlignment="1">
      <alignment/>
    </xf>
    <xf numFmtId="0" fontId="56" fillId="25" borderId="49" xfId="0" applyFont="1" applyFill="1" applyBorder="1" applyAlignment="1">
      <alignment wrapText="1"/>
    </xf>
    <xf numFmtId="0" fontId="31" fillId="25" borderId="10" xfId="0" applyFont="1" applyFill="1" applyBorder="1" applyAlignment="1">
      <alignment/>
    </xf>
    <xf numFmtId="0" fontId="56" fillId="25" borderId="10" xfId="0" applyFont="1" applyFill="1" applyBorder="1" applyAlignment="1">
      <alignment wrapText="1"/>
    </xf>
    <xf numFmtId="0" fontId="50" fillId="25" borderId="51" xfId="0" applyFont="1" applyFill="1" applyBorder="1" applyAlignment="1">
      <alignment/>
    </xf>
    <xf numFmtId="4" fontId="51" fillId="25" borderId="10" xfId="0" applyNumberFormat="1" applyFont="1" applyFill="1" applyBorder="1" applyAlignment="1">
      <alignment/>
    </xf>
    <xf numFmtId="2" fontId="51" fillId="25" borderId="10" xfId="0" applyNumberFormat="1" applyFont="1" applyFill="1" applyBorder="1" applyAlignment="1">
      <alignment/>
    </xf>
    <xf numFmtId="0" fontId="51" fillId="25" borderId="0" xfId="0" applyFont="1" applyFill="1" applyBorder="1" applyAlignment="1">
      <alignment/>
    </xf>
    <xf numFmtId="0" fontId="50" fillId="25" borderId="0" xfId="0" applyFont="1" applyFill="1" applyBorder="1" applyAlignment="1">
      <alignment/>
    </xf>
    <xf numFmtId="0" fontId="31" fillId="25" borderId="49" xfId="0" applyFont="1" applyFill="1" applyBorder="1" applyAlignment="1">
      <alignment/>
    </xf>
    <xf numFmtId="179" fontId="60" fillId="0" borderId="10" xfId="6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31" fillId="0" borderId="48" xfId="0" applyFont="1" applyBorder="1" applyAlignment="1">
      <alignment wrapText="1"/>
    </xf>
    <xf numFmtId="0" fontId="0" fillId="0" borderId="42" xfId="0" applyFont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37" fillId="25" borderId="0" xfId="0" applyFont="1" applyFill="1" applyBorder="1" applyAlignment="1">
      <alignment wrapText="1"/>
    </xf>
    <xf numFmtId="4" fontId="51" fillId="25" borderId="0" xfId="0" applyNumberFormat="1" applyFont="1" applyFill="1" applyBorder="1" applyAlignment="1">
      <alignment/>
    </xf>
    <xf numFmtId="0" fontId="37" fillId="25" borderId="35" xfId="0" applyFont="1" applyFill="1" applyBorder="1" applyAlignment="1">
      <alignment wrapText="1"/>
    </xf>
    <xf numFmtId="0" fontId="0" fillId="0" borderId="4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1" fillId="25" borderId="10" xfId="0" applyFont="1" applyFill="1" applyBorder="1" applyAlignment="1">
      <alignment/>
    </xf>
    <xf numFmtId="0" fontId="51" fillId="25" borderId="46" xfId="0" applyFont="1" applyFill="1" applyBorder="1" applyAlignment="1">
      <alignment/>
    </xf>
    <xf numFmtId="0" fontId="57" fillId="25" borderId="10" xfId="0" applyFont="1" applyFill="1" applyBorder="1" applyAlignment="1">
      <alignment/>
    </xf>
    <xf numFmtId="0" fontId="51" fillId="25" borderId="47" xfId="0" applyFont="1" applyFill="1" applyBorder="1" applyAlignment="1">
      <alignment/>
    </xf>
    <xf numFmtId="2" fontId="51" fillId="25" borderId="47" xfId="0" applyNumberFormat="1" applyFont="1" applyFill="1" applyBorder="1" applyAlignment="1">
      <alignment/>
    </xf>
    <xf numFmtId="2" fontId="51" fillId="25" borderId="10" xfId="0" applyNumberFormat="1" applyFont="1" applyFill="1" applyBorder="1" applyAlignment="1">
      <alignment horizontal="right"/>
    </xf>
    <xf numFmtId="0" fontId="51" fillId="25" borderId="24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0" fontId="34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51" fillId="25" borderId="10" xfId="0" applyFont="1" applyFill="1" applyBorder="1" applyAlignment="1">
      <alignment horizontal="right"/>
    </xf>
    <xf numFmtId="0" fontId="37" fillId="25" borderId="0" xfId="0" applyFont="1" applyFill="1" applyBorder="1" applyAlignment="1">
      <alignment horizontal="center"/>
    </xf>
    <xf numFmtId="0" fontId="37" fillId="25" borderId="36" xfId="0" applyFont="1" applyFill="1" applyBorder="1" applyAlignment="1">
      <alignment horizontal="center"/>
    </xf>
    <xf numFmtId="179" fontId="51" fillId="25" borderId="36" xfId="60" applyFont="1" applyFill="1" applyBorder="1" applyAlignment="1">
      <alignment horizontal="center" vertical="top" wrapText="1"/>
    </xf>
    <xf numFmtId="0" fontId="51" fillId="25" borderId="35" xfId="0" applyFont="1" applyFill="1" applyBorder="1" applyAlignment="1">
      <alignment/>
    </xf>
    <xf numFmtId="0" fontId="37" fillId="0" borderId="0" xfId="0" applyFont="1" applyBorder="1" applyAlignment="1">
      <alignment/>
    </xf>
    <xf numFmtId="0" fontId="51" fillId="0" borderId="0" xfId="0" applyFont="1" applyBorder="1" applyAlignment="1">
      <alignment/>
    </xf>
    <xf numFmtId="2" fontId="51" fillId="0" borderId="0" xfId="0" applyNumberFormat="1" applyFont="1" applyBorder="1" applyAlignment="1">
      <alignment/>
    </xf>
    <xf numFmtId="0" fontId="51" fillId="25" borderId="48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51" fillId="25" borderId="36" xfId="0" applyFont="1" applyFill="1" applyBorder="1" applyAlignment="1">
      <alignment/>
    </xf>
    <xf numFmtId="0" fontId="0" fillId="0" borderId="48" xfId="0" applyFont="1" applyBorder="1" applyAlignment="1">
      <alignment horizontal="center" vertical="top" wrapText="1"/>
    </xf>
    <xf numFmtId="0" fontId="37" fillId="25" borderId="52" xfId="0" applyFont="1" applyFill="1" applyBorder="1" applyAlignment="1">
      <alignment horizontal="center"/>
    </xf>
    <xf numFmtId="179" fontId="60" fillId="25" borderId="36" xfId="60" applyFont="1" applyFill="1" applyBorder="1" applyAlignment="1">
      <alignment horizontal="center" vertical="top" wrapText="1"/>
    </xf>
    <xf numFmtId="0" fontId="31" fillId="25" borderId="51" xfId="0" applyFont="1" applyFill="1" applyBorder="1" applyAlignment="1">
      <alignment horizontal="center"/>
    </xf>
    <xf numFmtId="0" fontId="31" fillId="25" borderId="53" xfId="0" applyFont="1" applyFill="1" applyBorder="1" applyAlignment="1">
      <alignment wrapText="1"/>
    </xf>
    <xf numFmtId="0" fontId="31" fillId="25" borderId="46" xfId="0" applyFont="1" applyFill="1" applyBorder="1" applyAlignment="1">
      <alignment wrapText="1"/>
    </xf>
    <xf numFmtId="0" fontId="56" fillId="25" borderId="46" xfId="0" applyFont="1" applyFill="1" applyBorder="1" applyAlignment="1">
      <alignment wrapText="1"/>
    </xf>
    <xf numFmtId="0" fontId="31" fillId="25" borderId="46" xfId="0" applyFont="1" applyFill="1" applyBorder="1" applyAlignment="1">
      <alignment/>
    </xf>
    <xf numFmtId="0" fontId="56" fillId="25" borderId="53" xfId="0" applyFont="1" applyFill="1" applyBorder="1" applyAlignment="1">
      <alignment wrapText="1"/>
    </xf>
    <xf numFmtId="0" fontId="57" fillId="0" borderId="48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/>
    </xf>
    <xf numFmtId="179" fontId="60" fillId="0" borderId="48" xfId="60" applyFont="1" applyBorder="1" applyAlignment="1">
      <alignment horizontal="center" vertical="top" wrapText="1"/>
    </xf>
    <xf numFmtId="0" fontId="33" fillId="0" borderId="40" xfId="0" applyFont="1" applyBorder="1" applyAlignment="1">
      <alignment wrapText="1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4" fontId="51" fillId="25" borderId="47" xfId="0" applyNumberFormat="1" applyFont="1" applyFill="1" applyBorder="1" applyAlignment="1">
      <alignment/>
    </xf>
    <xf numFmtId="0" fontId="31" fillId="25" borderId="42" xfId="0" applyFont="1" applyFill="1" applyBorder="1" applyAlignment="1">
      <alignment/>
    </xf>
    <xf numFmtId="2" fontId="51" fillId="25" borderId="48" xfId="0" applyNumberFormat="1" applyFont="1" applyFill="1" applyBorder="1" applyAlignment="1">
      <alignment/>
    </xf>
    <xf numFmtId="0" fontId="12" fillId="25" borderId="23" xfId="0" applyFont="1" applyFill="1" applyBorder="1" applyAlignment="1">
      <alignment/>
    </xf>
    <xf numFmtId="0" fontId="19" fillId="25" borderId="28" xfId="0" applyFont="1" applyFill="1" applyBorder="1" applyAlignment="1">
      <alignment horizontal="center"/>
    </xf>
    <xf numFmtId="0" fontId="37" fillId="25" borderId="28" xfId="0" applyFont="1" applyFill="1" applyBorder="1" applyAlignment="1">
      <alignment/>
    </xf>
    <xf numFmtId="2" fontId="19" fillId="25" borderId="22" xfId="0" applyNumberFormat="1" applyFont="1" applyFill="1" applyBorder="1" applyAlignment="1">
      <alignment/>
    </xf>
    <xf numFmtId="0" fontId="35" fillId="25" borderId="36" xfId="0" applyFont="1" applyFill="1" applyBorder="1" applyAlignment="1">
      <alignment/>
    </xf>
    <xf numFmtId="0" fontId="46" fillId="25" borderId="36" xfId="0" applyFont="1" applyFill="1" applyBorder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7" fillId="0" borderId="22" xfId="60" applyNumberFormat="1" applyFont="1" applyBorder="1" applyAlignment="1">
      <alignment vertical="top" wrapText="1"/>
    </xf>
    <xf numFmtId="0" fontId="37" fillId="25" borderId="36" xfId="0" applyFont="1" applyFill="1" applyBorder="1" applyAlignment="1">
      <alignment horizontal="right"/>
    </xf>
    <xf numFmtId="0" fontId="37" fillId="0" borderId="24" xfId="0" applyFont="1" applyBorder="1" applyAlignment="1">
      <alignment horizontal="left" vertical="top" wrapText="1"/>
    </xf>
    <xf numFmtId="0" fontId="37" fillId="0" borderId="54" xfId="0" applyFont="1" applyBorder="1" applyAlignment="1">
      <alignment horizontal="left" vertical="top" wrapText="1"/>
    </xf>
    <xf numFmtId="0" fontId="19" fillId="0" borderId="46" xfId="0" applyFont="1" applyBorder="1" applyAlignment="1">
      <alignment horizontal="center" vertical="top" wrapText="1"/>
    </xf>
    <xf numFmtId="0" fontId="37" fillId="0" borderId="53" xfId="0" applyFont="1" applyBorder="1" applyAlignment="1">
      <alignment horizontal="left" vertical="top" wrapText="1"/>
    </xf>
    <xf numFmtId="0" fontId="37" fillId="0" borderId="46" xfId="0" applyFont="1" applyBorder="1" applyAlignment="1">
      <alignment horizontal="left" vertical="top" wrapText="1"/>
    </xf>
    <xf numFmtId="0" fontId="19" fillId="0" borderId="54" xfId="0" applyFont="1" applyBorder="1" applyAlignment="1">
      <alignment horizontal="left" vertical="top" wrapText="1"/>
    </xf>
    <xf numFmtId="0" fontId="19" fillId="0" borderId="53" xfId="0" applyFont="1" applyBorder="1" applyAlignment="1">
      <alignment horizontal="left" vertical="top" wrapText="1"/>
    </xf>
    <xf numFmtId="0" fontId="43" fillId="0" borderId="23" xfId="0" applyFont="1" applyBorder="1" applyAlignment="1">
      <alignment wrapText="1"/>
    </xf>
    <xf numFmtId="0" fontId="37" fillId="25" borderId="19" xfId="0" applyFont="1" applyFill="1" applyBorder="1" applyAlignment="1">
      <alignment wrapText="1"/>
    </xf>
    <xf numFmtId="0" fontId="35" fillId="25" borderId="10" xfId="0" applyFont="1" applyFill="1" applyBorder="1" applyAlignment="1">
      <alignment horizontal="left"/>
    </xf>
    <xf numFmtId="0" fontId="0" fillId="25" borderId="51" xfId="0" applyFont="1" applyFill="1" applyBorder="1" applyAlignment="1">
      <alignment/>
    </xf>
    <xf numFmtId="0" fontId="50" fillId="0" borderId="55" xfId="0" applyFont="1" applyBorder="1" applyAlignment="1">
      <alignment wrapText="1"/>
    </xf>
    <xf numFmtId="0" fontId="57" fillId="0" borderId="48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1" fillId="25" borderId="56" xfId="0" applyFont="1" applyFill="1" applyBorder="1" applyAlignment="1">
      <alignment wrapText="1"/>
    </xf>
    <xf numFmtId="0" fontId="31" fillId="25" borderId="57" xfId="0" applyFont="1" applyFill="1" applyBorder="1" applyAlignment="1">
      <alignment/>
    </xf>
    <xf numFmtId="2" fontId="50" fillId="25" borderId="56" xfId="0" applyNumberFormat="1" applyFont="1" applyFill="1" applyBorder="1" applyAlignment="1">
      <alignment/>
    </xf>
    <xf numFmtId="0" fontId="45" fillId="25" borderId="23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51" xfId="0" applyFont="1" applyFill="1" applyBorder="1" applyAlignment="1">
      <alignment/>
    </xf>
    <xf numFmtId="0" fontId="51" fillId="25" borderId="10" xfId="0" applyFont="1" applyFill="1" applyBorder="1" applyAlignment="1">
      <alignment/>
    </xf>
    <xf numFmtId="0" fontId="51" fillId="25" borderId="51" xfId="0" applyFont="1" applyFill="1" applyBorder="1" applyAlignment="1">
      <alignment/>
    </xf>
    <xf numFmtId="0" fontId="37" fillId="25" borderId="24" xfId="0" applyFont="1" applyFill="1" applyBorder="1" applyAlignment="1">
      <alignment wrapText="1"/>
    </xf>
    <xf numFmtId="0" fontId="0" fillId="25" borderId="24" xfId="0" applyFont="1" applyFill="1" applyBorder="1" applyAlignment="1">
      <alignment wrapText="1"/>
    </xf>
    <xf numFmtId="43" fontId="55" fillId="0" borderId="10" xfId="0" applyNumberFormat="1" applyFont="1" applyFill="1" applyBorder="1" applyAlignment="1">
      <alignment vertical="top" wrapText="1"/>
    </xf>
    <xf numFmtId="179" fontId="51" fillId="0" borderId="0" xfId="0" applyNumberFormat="1" applyFont="1" applyBorder="1" applyAlignment="1">
      <alignment/>
    </xf>
    <xf numFmtId="0" fontId="0" fillId="0" borderId="48" xfId="0" applyFont="1" applyBorder="1" applyAlignment="1">
      <alignment horizontal="left"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43" fontId="0" fillId="0" borderId="10" xfId="0" applyNumberFormat="1" applyFont="1" applyBorder="1" applyAlignment="1">
      <alignment/>
    </xf>
    <xf numFmtId="0" fontId="13" fillId="0" borderId="42" xfId="0" applyFont="1" applyBorder="1" applyAlignment="1">
      <alignment horizontal="center"/>
    </xf>
    <xf numFmtId="0" fontId="31" fillId="25" borderId="58" xfId="0" applyFont="1" applyFill="1" applyBorder="1" applyAlignment="1">
      <alignment/>
    </xf>
    <xf numFmtId="0" fontId="9" fillId="0" borderId="48" xfId="0" applyFont="1" applyBorder="1" applyAlignment="1">
      <alignment wrapText="1"/>
    </xf>
    <xf numFmtId="0" fontId="42" fillId="0" borderId="48" xfId="0" applyFont="1" applyBorder="1" applyAlignment="1">
      <alignment vertical="top" wrapText="1"/>
    </xf>
    <xf numFmtId="179" fontId="48" fillId="0" borderId="48" xfId="60" applyFont="1" applyBorder="1" applyAlignment="1">
      <alignment horizontal="center" vertical="top" wrapText="1"/>
    </xf>
    <xf numFmtId="0" fontId="7" fillId="0" borderId="39" xfId="0" applyFont="1" applyBorder="1" applyAlignment="1">
      <alignment vertical="top" wrapText="1"/>
    </xf>
    <xf numFmtId="0" fontId="51" fillId="25" borderId="46" xfId="0" applyFont="1" applyFill="1" applyBorder="1" applyAlignment="1">
      <alignment/>
    </xf>
    <xf numFmtId="0" fontId="50" fillId="25" borderId="49" xfId="0" applyFont="1" applyFill="1" applyBorder="1" applyAlignment="1">
      <alignment/>
    </xf>
    <xf numFmtId="2" fontId="50" fillId="25" borderId="53" xfId="0" applyNumberFormat="1" applyFont="1" applyFill="1" applyBorder="1" applyAlignment="1">
      <alignment/>
    </xf>
    <xf numFmtId="0" fontId="50" fillId="25" borderId="10" xfId="0" applyFont="1" applyFill="1" applyBorder="1" applyAlignment="1">
      <alignment/>
    </xf>
    <xf numFmtId="2" fontId="50" fillId="25" borderId="46" xfId="0" applyNumberFormat="1" applyFont="1" applyFill="1" applyBorder="1" applyAlignment="1">
      <alignment/>
    </xf>
    <xf numFmtId="0" fontId="37" fillId="25" borderId="55" xfId="0" applyFont="1" applyFill="1" applyBorder="1" applyAlignment="1">
      <alignment wrapText="1"/>
    </xf>
    <xf numFmtId="4" fontId="51" fillId="25" borderId="49" xfId="0" applyNumberFormat="1" applyFont="1" applyFill="1" applyBorder="1" applyAlignment="1">
      <alignment/>
    </xf>
    <xf numFmtId="2" fontId="51" fillId="25" borderId="53" xfId="0" applyNumberFormat="1" applyFont="1" applyFill="1" applyBorder="1" applyAlignment="1">
      <alignment/>
    </xf>
    <xf numFmtId="0" fontId="46" fillId="25" borderId="37" xfId="0" applyFont="1" applyFill="1" applyBorder="1" applyAlignment="1">
      <alignment/>
    </xf>
    <xf numFmtId="0" fontId="19" fillId="25" borderId="36" xfId="0" applyFont="1" applyFill="1" applyBorder="1" applyAlignment="1">
      <alignment horizontal="center"/>
    </xf>
    <xf numFmtId="0" fontId="19" fillId="25" borderId="52" xfId="0" applyFont="1" applyFill="1" applyBorder="1" applyAlignment="1">
      <alignment horizontal="center"/>
    </xf>
    <xf numFmtId="179" fontId="48" fillId="25" borderId="36" xfId="60" applyFont="1" applyFill="1" applyBorder="1" applyAlignment="1">
      <alignment horizontal="center" vertical="top" wrapText="1"/>
    </xf>
    <xf numFmtId="0" fontId="31" fillId="25" borderId="58" xfId="0" applyFont="1" applyFill="1" applyBorder="1" applyAlignment="1">
      <alignment wrapText="1"/>
    </xf>
    <xf numFmtId="2" fontId="50" fillId="25" borderId="59" xfId="0" applyNumberFormat="1" applyFont="1" applyFill="1" applyBorder="1" applyAlignment="1">
      <alignment/>
    </xf>
    <xf numFmtId="0" fontId="37" fillId="25" borderId="35" xfId="0" applyFont="1" applyFill="1" applyBorder="1" applyAlignment="1">
      <alignment/>
    </xf>
    <xf numFmtId="2" fontId="37" fillId="25" borderId="36" xfId="0" applyNumberFormat="1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35" fillId="25" borderId="0" xfId="0" applyFont="1" applyFill="1" applyBorder="1" applyAlignment="1">
      <alignment horizontal="left"/>
    </xf>
    <xf numFmtId="2" fontId="51" fillId="25" borderId="46" xfId="0" applyNumberFormat="1" applyFont="1" applyFill="1" applyBorder="1" applyAlignment="1">
      <alignment/>
    </xf>
    <xf numFmtId="179" fontId="7" fillId="25" borderId="22" xfId="60" applyFont="1" applyFill="1" applyBorder="1" applyAlignment="1">
      <alignment vertical="top" wrapText="1"/>
    </xf>
    <xf numFmtId="0" fontId="46" fillId="25" borderId="58" xfId="0" applyFont="1" applyFill="1" applyBorder="1" applyAlignment="1">
      <alignment/>
    </xf>
    <xf numFmtId="0" fontId="37" fillId="25" borderId="48" xfId="0" applyFont="1" applyFill="1" applyBorder="1" applyAlignment="1">
      <alignment horizontal="left"/>
    </xf>
    <xf numFmtId="0" fontId="37" fillId="0" borderId="51" xfId="0" applyFont="1" applyBorder="1" applyAlignment="1">
      <alignment horizontal="left" vertical="top" wrapText="1"/>
    </xf>
    <xf numFmtId="2" fontId="50" fillId="25" borderId="5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55" fillId="25" borderId="0" xfId="0" applyFont="1" applyFill="1" applyBorder="1" applyAlignment="1">
      <alignment horizontal="left"/>
    </xf>
    <xf numFmtId="0" fontId="37" fillId="25" borderId="0" xfId="0" applyFont="1" applyFill="1" applyBorder="1" applyAlignment="1">
      <alignment/>
    </xf>
    <xf numFmtId="2" fontId="51" fillId="25" borderId="10" xfId="0" applyNumberFormat="1" applyFont="1" applyFill="1" applyBorder="1" applyAlignment="1">
      <alignment/>
    </xf>
    <xf numFmtId="2" fontId="34" fillId="25" borderId="22" xfId="0" applyNumberFormat="1" applyFont="1" applyFill="1" applyBorder="1" applyAlignment="1">
      <alignment/>
    </xf>
    <xf numFmtId="0" fontId="37" fillId="25" borderId="52" xfId="0" applyFont="1" applyFill="1" applyBorder="1" applyAlignment="1">
      <alignment/>
    </xf>
    <xf numFmtId="4" fontId="51" fillId="25" borderId="53" xfId="0" applyNumberFormat="1" applyFont="1" applyFill="1" applyBorder="1" applyAlignment="1">
      <alignment/>
    </xf>
    <xf numFmtId="0" fontId="31" fillId="25" borderId="36" xfId="0" applyFont="1" applyFill="1" applyBorder="1" applyAlignment="1">
      <alignment/>
    </xf>
    <xf numFmtId="0" fontId="37" fillId="25" borderId="36" xfId="0" applyFont="1" applyFill="1" applyBorder="1" applyAlignment="1">
      <alignment wrapText="1"/>
    </xf>
    <xf numFmtId="0" fontId="37" fillId="0" borderId="0" xfId="0" applyFont="1" applyBorder="1" applyAlignment="1">
      <alignment horizontal="left" vertical="top" wrapText="1"/>
    </xf>
    <xf numFmtId="2" fontId="0" fillId="25" borderId="0" xfId="0" applyNumberFormat="1" applyFont="1" applyFill="1" applyBorder="1" applyAlignment="1">
      <alignment horizontal="center" vertical="top" wrapText="1"/>
    </xf>
    <xf numFmtId="0" fontId="37" fillId="25" borderId="49" xfId="0" applyFont="1" applyFill="1" applyBorder="1" applyAlignment="1">
      <alignment wrapText="1"/>
    </xf>
    <xf numFmtId="2" fontId="51" fillId="25" borderId="48" xfId="0" applyNumberFormat="1" applyFont="1" applyFill="1" applyBorder="1" applyAlignment="1">
      <alignment/>
    </xf>
    <xf numFmtId="0" fontId="1" fillId="25" borderId="36" xfId="0" applyFont="1" applyFill="1" applyBorder="1" applyAlignment="1">
      <alignment/>
    </xf>
    <xf numFmtId="0" fontId="31" fillId="25" borderId="42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37" fillId="25" borderId="37" xfId="0" applyFont="1" applyFill="1" applyBorder="1" applyAlignment="1">
      <alignment wrapText="1"/>
    </xf>
    <xf numFmtId="0" fontId="1" fillId="25" borderId="37" xfId="0" applyFont="1" applyFill="1" applyBorder="1" applyAlignment="1">
      <alignment/>
    </xf>
    <xf numFmtId="0" fontId="37" fillId="25" borderId="24" xfId="0" applyFont="1" applyFill="1" applyBorder="1" applyAlignment="1">
      <alignment horizontal="left"/>
    </xf>
    <xf numFmtId="0" fontId="0" fillId="25" borderId="28" xfId="0" applyFont="1" applyFill="1" applyBorder="1" applyAlignment="1">
      <alignment horizontal="center"/>
    </xf>
    <xf numFmtId="0" fontId="51" fillId="25" borderId="28" xfId="0" applyFont="1" applyFill="1" applyBorder="1" applyAlignment="1">
      <alignment/>
    </xf>
    <xf numFmtId="0" fontId="34" fillId="25" borderId="22" xfId="0" applyFont="1" applyFill="1" applyBorder="1" applyAlignment="1">
      <alignment horizontal="righ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5" borderId="24" xfId="0" applyFont="1" applyFill="1" applyBorder="1" applyAlignment="1">
      <alignment/>
    </xf>
    <xf numFmtId="2" fontId="51" fillId="25" borderId="46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6" xfId="0" applyFont="1" applyBorder="1" applyAlignment="1">
      <alignment vertical="top" wrapText="1"/>
    </xf>
    <xf numFmtId="0" fontId="0" fillId="0" borderId="35" xfId="0" applyFont="1" applyBorder="1" applyAlignment="1">
      <alignment horizontal="right" vertical="top" wrapText="1"/>
    </xf>
    <xf numFmtId="179" fontId="51" fillId="25" borderId="10" xfId="60" applyFont="1" applyFill="1" applyBorder="1" applyAlignment="1">
      <alignment horizontal="center" vertical="top" wrapText="1"/>
    </xf>
    <xf numFmtId="0" fontId="0" fillId="25" borderId="37" xfId="0" applyFont="1" applyFill="1" applyBorder="1" applyAlignment="1">
      <alignment wrapText="1"/>
    </xf>
    <xf numFmtId="0" fontId="56" fillId="25" borderId="36" xfId="0" applyFont="1" applyFill="1" applyBorder="1" applyAlignment="1">
      <alignment wrapText="1"/>
    </xf>
    <xf numFmtId="0" fontId="7" fillId="0" borderId="57" xfId="0" applyFont="1" applyBorder="1" applyAlignment="1">
      <alignment horizontal="center" vertical="top" wrapText="1"/>
    </xf>
    <xf numFmtId="0" fontId="33" fillId="0" borderId="60" xfId="0" applyFont="1" applyBorder="1" applyAlignment="1">
      <alignment wrapText="1"/>
    </xf>
    <xf numFmtId="0" fontId="7" fillId="0" borderId="57" xfId="0" applyFont="1" applyBorder="1" applyAlignment="1">
      <alignment vertical="top" wrapText="1"/>
    </xf>
    <xf numFmtId="2" fontId="7" fillId="0" borderId="17" xfId="60" applyNumberFormat="1" applyFont="1" applyBorder="1" applyAlignment="1">
      <alignment vertical="top" wrapText="1"/>
    </xf>
    <xf numFmtId="0" fontId="31" fillId="25" borderId="61" xfId="0" applyFont="1" applyFill="1" applyBorder="1" applyAlignment="1">
      <alignment/>
    </xf>
    <xf numFmtId="2" fontId="50" fillId="25" borderId="58" xfId="0" applyNumberFormat="1" applyFont="1" applyFill="1" applyBorder="1" applyAlignment="1">
      <alignment/>
    </xf>
    <xf numFmtId="0" fontId="55" fillId="25" borderId="36" xfId="0" applyFont="1" applyFill="1" applyBorder="1" applyAlignment="1">
      <alignment horizontal="center"/>
    </xf>
    <xf numFmtId="0" fontId="37" fillId="25" borderId="52" xfId="0" applyFont="1" applyFill="1" applyBorder="1" applyAlignment="1">
      <alignment horizontal="right"/>
    </xf>
    <xf numFmtId="0" fontId="37" fillId="25" borderId="0" xfId="0" applyFont="1" applyFill="1" applyBorder="1" applyAlignment="1">
      <alignment horizontal="left"/>
    </xf>
    <xf numFmtId="2" fontId="51" fillId="25" borderId="0" xfId="0" applyNumberFormat="1" applyFont="1" applyFill="1" applyBorder="1" applyAlignment="1">
      <alignment/>
    </xf>
    <xf numFmtId="0" fontId="37" fillId="25" borderId="35" xfId="0" applyFont="1" applyFill="1" applyBorder="1" applyAlignment="1">
      <alignment horizontal="left"/>
    </xf>
    <xf numFmtId="0" fontId="37" fillId="0" borderId="37" xfId="0" applyFont="1" applyBorder="1" applyAlignment="1">
      <alignment horizontal="left" vertical="top" wrapText="1"/>
    </xf>
    <xf numFmtId="2" fontId="13" fillId="25" borderId="49" xfId="0" applyNumberFormat="1" applyFont="1" applyFill="1" applyBorder="1" applyAlignment="1">
      <alignment horizontal="center" vertical="top" wrapText="1"/>
    </xf>
    <xf numFmtId="2" fontId="13" fillId="0" borderId="49" xfId="0" applyNumberFormat="1" applyFont="1" applyBorder="1" applyAlignment="1">
      <alignment horizontal="center" vertical="top" wrapText="1"/>
    </xf>
    <xf numFmtId="179" fontId="51" fillId="25" borderId="36" xfId="60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 vertical="top" wrapText="1"/>
    </xf>
    <xf numFmtId="43" fontId="55" fillId="0" borderId="0" xfId="0" applyNumberFormat="1" applyFont="1" applyFill="1" applyBorder="1" applyAlignment="1">
      <alignment vertical="top" wrapText="1"/>
    </xf>
    <xf numFmtId="0" fontId="0" fillId="0" borderId="52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50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 wrapText="1"/>
    </xf>
    <xf numFmtId="0" fontId="37" fillId="0" borderId="50" xfId="0" applyFont="1" applyBorder="1" applyAlignment="1">
      <alignment horizontal="left" vertical="top" wrapText="1"/>
    </xf>
    <xf numFmtId="192" fontId="0" fillId="0" borderId="24" xfId="0" applyNumberFormat="1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192" fontId="55" fillId="0" borderId="10" xfId="0" applyNumberFormat="1" applyFont="1" applyFill="1" applyBorder="1" applyAlignment="1">
      <alignment vertical="top" wrapText="1"/>
    </xf>
    <xf numFmtId="192" fontId="13" fillId="0" borderId="24" xfId="0" applyNumberFormat="1" applyFont="1" applyFill="1" applyBorder="1" applyAlignment="1">
      <alignment horizontal="center" vertical="top" wrapText="1"/>
    </xf>
    <xf numFmtId="192" fontId="13" fillId="0" borderId="10" xfId="0" applyNumberFormat="1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2" fontId="0" fillId="0" borderId="36" xfId="0" applyNumberFormat="1" applyFont="1" applyBorder="1" applyAlignment="1">
      <alignment/>
    </xf>
    <xf numFmtId="0" fontId="31" fillId="25" borderId="48" xfId="0" applyFont="1" applyFill="1" applyBorder="1" applyAlignment="1">
      <alignment wrapText="1"/>
    </xf>
    <xf numFmtId="0" fontId="31" fillId="25" borderId="48" xfId="0" applyFont="1" applyFill="1" applyBorder="1" applyAlignment="1">
      <alignment/>
    </xf>
    <xf numFmtId="2" fontId="50" fillId="25" borderId="4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53" xfId="0" applyFont="1" applyBorder="1" applyAlignment="1">
      <alignment horizontal="center" vertical="top" wrapText="1"/>
    </xf>
    <xf numFmtId="2" fontId="51" fillId="25" borderId="36" xfId="0" applyNumberFormat="1" applyFont="1" applyFill="1" applyBorder="1" applyAlignment="1">
      <alignment/>
    </xf>
    <xf numFmtId="0" fontId="57" fillId="25" borderId="1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51" fillId="25" borderId="10" xfId="0" applyFont="1" applyFill="1" applyBorder="1" applyAlignment="1">
      <alignment horizontal="center"/>
    </xf>
    <xf numFmtId="0" fontId="51" fillId="25" borderId="52" xfId="0" applyFont="1" applyFill="1" applyBorder="1" applyAlignment="1">
      <alignment horizontal="right"/>
    </xf>
    <xf numFmtId="2" fontId="34" fillId="0" borderId="10" xfId="0" applyNumberFormat="1" applyFont="1" applyBorder="1" applyAlignment="1">
      <alignment horizontal="center" vertical="top" wrapText="1"/>
    </xf>
    <xf numFmtId="2" fontId="51" fillId="25" borderId="49" xfId="0" applyNumberFormat="1" applyFont="1" applyFill="1" applyBorder="1" applyAlignment="1">
      <alignment horizontal="center" vertical="top" wrapText="1"/>
    </xf>
    <xf numFmtId="2" fontId="51" fillId="0" borderId="49" xfId="0" applyNumberFormat="1" applyFont="1" applyBorder="1" applyAlignment="1">
      <alignment horizontal="center" vertical="top" wrapText="1"/>
    </xf>
    <xf numFmtId="43" fontId="51" fillId="0" borderId="10" xfId="0" applyNumberFormat="1" applyFont="1" applyBorder="1" applyAlignment="1">
      <alignment/>
    </xf>
    <xf numFmtId="2" fontId="51" fillId="25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0" fontId="56" fillId="25" borderId="48" xfId="0" applyFont="1" applyFill="1" applyBorder="1" applyAlignment="1">
      <alignment wrapText="1"/>
    </xf>
    <xf numFmtId="0" fontId="50" fillId="25" borderId="48" xfId="0" applyFont="1" applyFill="1" applyBorder="1" applyAlignment="1">
      <alignment/>
    </xf>
    <xf numFmtId="0" fontId="56" fillId="25" borderId="24" xfId="0" applyFont="1" applyFill="1" applyBorder="1" applyAlignment="1">
      <alignment wrapText="1"/>
    </xf>
    <xf numFmtId="43" fontId="34" fillId="0" borderId="48" xfId="0" applyNumberFormat="1" applyFont="1" applyBorder="1" applyAlignment="1">
      <alignment/>
    </xf>
    <xf numFmtId="43" fontId="51" fillId="0" borderId="49" xfId="0" applyNumberFormat="1" applyFont="1" applyBorder="1" applyAlignment="1">
      <alignment/>
    </xf>
    <xf numFmtId="43" fontId="34" fillId="0" borderId="10" xfId="0" applyNumberFormat="1" applyFont="1" applyBorder="1" applyAlignment="1">
      <alignment/>
    </xf>
    <xf numFmtId="0" fontId="51" fillId="25" borderId="51" xfId="0" applyFont="1" applyFill="1" applyBorder="1" applyAlignment="1">
      <alignment/>
    </xf>
    <xf numFmtId="0" fontId="51" fillId="25" borderId="42" xfId="0" applyFont="1" applyFill="1" applyBorder="1" applyAlignment="1">
      <alignment/>
    </xf>
    <xf numFmtId="0" fontId="50" fillId="25" borderId="42" xfId="0" applyFont="1" applyFill="1" applyBorder="1" applyAlignment="1">
      <alignment/>
    </xf>
    <xf numFmtId="2" fontId="50" fillId="25" borderId="48" xfId="0" applyNumberFormat="1" applyFont="1" applyFill="1" applyBorder="1" applyAlignment="1">
      <alignment/>
    </xf>
    <xf numFmtId="0" fontId="55" fillId="25" borderId="50" xfId="0" applyFont="1" applyFill="1" applyBorder="1" applyAlignment="1">
      <alignment horizontal="right"/>
    </xf>
    <xf numFmtId="191" fontId="0" fillId="0" borderId="0" xfId="0" applyNumberFormat="1" applyAlignment="1">
      <alignment/>
    </xf>
    <xf numFmtId="0" fontId="55" fillId="25" borderId="0" xfId="0" applyFont="1" applyFill="1" applyBorder="1" applyAlignment="1">
      <alignment horizontal="center"/>
    </xf>
    <xf numFmtId="0" fontId="57" fillId="25" borderId="52" xfId="0" applyFont="1" applyFill="1" applyBorder="1" applyAlignment="1">
      <alignment horizontal="right"/>
    </xf>
    <xf numFmtId="2" fontId="51" fillId="25" borderId="36" xfId="60" applyNumberFormat="1" applyFont="1" applyFill="1" applyBorder="1" applyAlignment="1">
      <alignment horizontal="right" vertical="top" wrapText="1"/>
    </xf>
    <xf numFmtId="192" fontId="0" fillId="0" borderId="0" xfId="0" applyNumberFormat="1" applyAlignment="1">
      <alignment/>
    </xf>
    <xf numFmtId="0" fontId="51" fillId="25" borderId="36" xfId="0" applyFont="1" applyFill="1" applyBorder="1" applyAlignment="1">
      <alignment/>
    </xf>
    <xf numFmtId="2" fontId="51" fillId="25" borderId="50" xfId="0" applyNumberFormat="1" applyFont="1" applyFill="1" applyBorder="1" applyAlignment="1">
      <alignment/>
    </xf>
    <xf numFmtId="0" fontId="34" fillId="0" borderId="24" xfId="0" applyFont="1" applyBorder="1" applyAlignment="1">
      <alignment horizontal="center" vertical="top" wrapText="1"/>
    </xf>
    <xf numFmtId="2" fontId="51" fillId="25" borderId="10" xfId="0" applyNumberFormat="1" applyFont="1" applyFill="1" applyBorder="1" applyAlignment="1">
      <alignment horizontal="center" vertical="center" wrapText="1"/>
    </xf>
    <xf numFmtId="2" fontId="34" fillId="25" borderId="10" xfId="0" applyNumberFormat="1" applyFont="1" applyFill="1" applyBorder="1" applyAlignment="1">
      <alignment horizontal="center" vertical="top" wrapText="1"/>
    </xf>
    <xf numFmtId="43" fontId="51" fillId="0" borderId="10" xfId="0" applyNumberFormat="1" applyFont="1" applyFill="1" applyBorder="1" applyAlignment="1">
      <alignment vertical="top" wrapText="1"/>
    </xf>
    <xf numFmtId="2" fontId="50" fillId="25" borderId="36" xfId="0" applyNumberFormat="1" applyFont="1" applyFill="1" applyBorder="1" applyAlignment="1">
      <alignment/>
    </xf>
    <xf numFmtId="0" fontId="31" fillId="25" borderId="52" xfId="0" applyFont="1" applyFill="1" applyBorder="1" applyAlignment="1">
      <alignment/>
    </xf>
    <xf numFmtId="0" fontId="31" fillId="25" borderId="24" xfId="0" applyFont="1" applyFill="1" applyBorder="1" applyAlignment="1">
      <alignment/>
    </xf>
    <xf numFmtId="2" fontId="51" fillId="25" borderId="10" xfId="60" applyNumberFormat="1" applyFont="1" applyFill="1" applyBorder="1" applyAlignment="1">
      <alignment horizontal="right" vertical="top" wrapText="1"/>
    </xf>
    <xf numFmtId="192" fontId="34" fillId="0" borderId="10" xfId="0" applyNumberFormat="1" applyFont="1" applyFill="1" applyBorder="1" applyAlignment="1">
      <alignment horizontal="center" vertical="top" wrapText="1"/>
    </xf>
    <xf numFmtId="0" fontId="33" fillId="0" borderId="23" xfId="0" applyFont="1" applyBorder="1" applyAlignment="1">
      <alignment wrapText="1"/>
    </xf>
    <xf numFmtId="0" fontId="31" fillId="25" borderId="36" xfId="0" applyFont="1" applyFill="1" applyBorder="1" applyAlignment="1">
      <alignment wrapText="1"/>
    </xf>
    <xf numFmtId="192" fontId="34" fillId="0" borderId="24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48" xfId="0" applyFont="1" applyFill="1" applyBorder="1" applyAlignment="1">
      <alignment/>
    </xf>
    <xf numFmtId="2" fontId="51" fillId="0" borderId="48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19" fillId="0" borderId="52" xfId="0" applyFont="1" applyBorder="1" applyAlignment="1">
      <alignment horizontal="center"/>
    </xf>
    <xf numFmtId="179" fontId="48" fillId="0" borderId="36" xfId="60" applyFont="1" applyFill="1" applyBorder="1" applyAlignment="1">
      <alignment horizontal="center" vertical="top" wrapText="1"/>
    </xf>
    <xf numFmtId="2" fontId="19" fillId="0" borderId="22" xfId="0" applyNumberFormat="1" applyFont="1" applyFill="1" applyBorder="1" applyAlignment="1">
      <alignment/>
    </xf>
    <xf numFmtId="4" fontId="51" fillId="25" borderId="48" xfId="0" applyNumberFormat="1" applyFont="1" applyFill="1" applyBorder="1" applyAlignment="1">
      <alignment/>
    </xf>
    <xf numFmtId="2" fontId="51" fillId="25" borderId="47" xfId="0" applyNumberFormat="1" applyFont="1" applyFill="1" applyBorder="1" applyAlignment="1">
      <alignment/>
    </xf>
    <xf numFmtId="4" fontId="60" fillId="25" borderId="47" xfId="0" applyNumberFormat="1" applyFont="1" applyFill="1" applyBorder="1" applyAlignment="1">
      <alignment horizontal="center"/>
    </xf>
    <xf numFmtId="0" fontId="51" fillId="25" borderId="52" xfId="0" applyFont="1" applyFill="1" applyBorder="1" applyAlignment="1">
      <alignment/>
    </xf>
    <xf numFmtId="0" fontId="37" fillId="25" borderId="37" xfId="0" applyFont="1" applyFill="1" applyBorder="1" applyAlignment="1">
      <alignment horizontal="center"/>
    </xf>
    <xf numFmtId="0" fontId="37" fillId="25" borderId="38" xfId="0" applyFont="1" applyFill="1" applyBorder="1" applyAlignment="1">
      <alignment horizontal="center"/>
    </xf>
    <xf numFmtId="179" fontId="60" fillId="25" borderId="14" xfId="60" applyFont="1" applyFill="1" applyBorder="1" applyAlignment="1">
      <alignment horizontal="center" vertical="top" wrapText="1"/>
    </xf>
    <xf numFmtId="0" fontId="50" fillId="0" borderId="24" xfId="0" applyFont="1" applyBorder="1" applyAlignment="1">
      <alignment wrapText="1"/>
    </xf>
    <xf numFmtId="0" fontId="0" fillId="0" borderId="51" xfId="0" applyFont="1" applyBorder="1" applyAlignment="1">
      <alignment horizontal="center"/>
    </xf>
    <xf numFmtId="0" fontId="43" fillId="0" borderId="44" xfId="0" applyFont="1" applyBorder="1" applyAlignment="1">
      <alignment wrapText="1"/>
    </xf>
    <xf numFmtId="0" fontId="7" fillId="0" borderId="49" xfId="0" applyFont="1" applyBorder="1" applyAlignment="1">
      <alignment vertical="top" wrapText="1"/>
    </xf>
    <xf numFmtId="0" fontId="50" fillId="0" borderId="35" xfId="0" applyFont="1" applyBorder="1" applyAlignment="1">
      <alignment wrapText="1"/>
    </xf>
    <xf numFmtId="0" fontId="51" fillId="25" borderId="0" xfId="0" applyFont="1" applyFill="1" applyBorder="1" applyAlignment="1">
      <alignment/>
    </xf>
    <xf numFmtId="2" fontId="37" fillId="25" borderId="0" xfId="0" applyNumberFormat="1" applyFont="1" applyFill="1" applyBorder="1" applyAlignment="1">
      <alignment/>
    </xf>
    <xf numFmtId="0" fontId="51" fillId="25" borderId="51" xfId="0" applyFont="1" applyFill="1" applyBorder="1" applyAlignment="1">
      <alignment horizontal="right"/>
    </xf>
    <xf numFmtId="2" fontId="7" fillId="0" borderId="62" xfId="60" applyNumberFormat="1" applyFont="1" applyBorder="1" applyAlignment="1">
      <alignment vertical="top" wrapText="1"/>
    </xf>
    <xf numFmtId="0" fontId="57" fillId="25" borderId="10" xfId="0" applyFont="1" applyFill="1" applyBorder="1" applyAlignment="1">
      <alignment/>
    </xf>
    <xf numFmtId="0" fontId="55" fillId="25" borderId="51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36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/>
    </xf>
    <xf numFmtId="0" fontId="51" fillId="25" borderId="48" xfId="0" applyFont="1" applyFill="1" applyBorder="1" applyAlignment="1">
      <alignment/>
    </xf>
    <xf numFmtId="0" fontId="51" fillId="25" borderId="42" xfId="0" applyFont="1" applyFill="1" applyBorder="1" applyAlignment="1">
      <alignment/>
    </xf>
    <xf numFmtId="0" fontId="37" fillId="25" borderId="54" xfId="0" applyFont="1" applyFill="1" applyBorder="1" applyAlignment="1">
      <alignment wrapText="1"/>
    </xf>
    <xf numFmtId="2" fontId="7" fillId="25" borderId="22" xfId="60" applyNumberFormat="1" applyFont="1" applyFill="1" applyBorder="1" applyAlignment="1">
      <alignment vertical="top" wrapText="1"/>
    </xf>
    <xf numFmtId="0" fontId="55" fillId="25" borderId="24" xfId="0" applyFont="1" applyFill="1" applyBorder="1" applyAlignment="1">
      <alignment horizontal="center"/>
    </xf>
    <xf numFmtId="0" fontId="37" fillId="25" borderId="58" xfId="0" applyFont="1" applyFill="1" applyBorder="1" applyAlignment="1">
      <alignment wrapText="1"/>
    </xf>
    <xf numFmtId="0" fontId="57" fillId="25" borderId="24" xfId="0" applyFont="1" applyFill="1" applyBorder="1" applyAlignment="1">
      <alignment/>
    </xf>
    <xf numFmtId="0" fontId="45" fillId="25" borderId="29" xfId="0" applyFont="1" applyFill="1" applyBorder="1" applyAlignment="1">
      <alignment/>
    </xf>
    <xf numFmtId="192" fontId="51" fillId="0" borderId="24" xfId="0" applyNumberFormat="1" applyFont="1" applyFill="1" applyBorder="1" applyAlignment="1">
      <alignment horizontal="center" vertical="top" wrapText="1"/>
    </xf>
    <xf numFmtId="0" fontId="37" fillId="0" borderId="49" xfId="0" applyFont="1" applyBorder="1" applyAlignment="1">
      <alignment/>
    </xf>
    <xf numFmtId="0" fontId="37" fillId="0" borderId="36" xfId="0" applyFont="1" applyBorder="1" applyAlignment="1">
      <alignment/>
    </xf>
    <xf numFmtId="2" fontId="19" fillId="0" borderId="22" xfId="60" applyNumberFormat="1" applyFont="1" applyBorder="1" applyAlignment="1">
      <alignment vertical="top" wrapText="1"/>
    </xf>
    <xf numFmtId="2" fontId="7" fillId="0" borderId="22" xfId="60" applyNumberFormat="1" applyFont="1" applyBorder="1" applyAlignment="1">
      <alignment horizontal="right" vertical="top" wrapText="1"/>
    </xf>
    <xf numFmtId="0" fontId="37" fillId="25" borderId="32" xfId="0" applyFont="1" applyFill="1" applyBorder="1" applyAlignment="1">
      <alignment wrapText="1"/>
    </xf>
    <xf numFmtId="2" fontId="51" fillId="25" borderId="49" xfId="60" applyNumberFormat="1" applyFont="1" applyFill="1" applyBorder="1" applyAlignment="1">
      <alignment horizontal="right" vertical="top" wrapText="1"/>
    </xf>
    <xf numFmtId="2" fontId="7" fillId="0" borderId="63" xfId="60" applyNumberFormat="1" applyFont="1" applyBorder="1" applyAlignment="1">
      <alignment vertical="top" wrapText="1"/>
    </xf>
    <xf numFmtId="2" fontId="51" fillId="0" borderId="36" xfId="60" applyNumberFormat="1" applyFont="1" applyBorder="1" applyAlignment="1">
      <alignment horizontal="right" vertical="top" wrapText="1"/>
    </xf>
    <xf numFmtId="0" fontId="55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64" xfId="0" applyFont="1" applyBorder="1" applyAlignment="1">
      <alignment vertical="top" wrapText="1"/>
    </xf>
    <xf numFmtId="0" fontId="45" fillId="25" borderId="12" xfId="0" applyFont="1" applyFill="1" applyBorder="1" applyAlignment="1">
      <alignment/>
    </xf>
    <xf numFmtId="0" fontId="4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4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42" fillId="0" borderId="0" xfId="0" applyFont="1" applyBorder="1" applyAlignment="1">
      <alignment vertical="top" wrapText="1"/>
    </xf>
    <xf numFmtId="179" fontId="48" fillId="0" borderId="0" xfId="60" applyFont="1" applyBorder="1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2" fontId="7" fillId="0" borderId="0" xfId="60" applyNumberFormat="1" applyFont="1" applyBorder="1" applyAlignment="1">
      <alignment horizontal="right" vertical="top" wrapText="1"/>
    </xf>
    <xf numFmtId="0" fontId="31" fillId="25" borderId="0" xfId="0" applyFont="1" applyFill="1" applyBorder="1" applyAlignment="1">
      <alignment wrapText="1"/>
    </xf>
    <xf numFmtId="2" fontId="51" fillId="0" borderId="0" xfId="60" applyNumberFormat="1" applyFont="1" applyBorder="1" applyAlignment="1">
      <alignment horizontal="right" vertical="top" wrapText="1"/>
    </xf>
    <xf numFmtId="2" fontId="50" fillId="25" borderId="0" xfId="0" applyNumberFormat="1" applyFont="1" applyFill="1" applyBorder="1" applyAlignment="1">
      <alignment/>
    </xf>
    <xf numFmtId="2" fontId="51" fillId="25" borderId="0" xfId="0" applyNumberFormat="1" applyFont="1" applyFill="1" applyBorder="1" applyAlignment="1">
      <alignment/>
    </xf>
    <xf numFmtId="0" fontId="46" fillId="25" borderId="0" xfId="0" applyFont="1" applyFill="1" applyBorder="1" applyAlignment="1">
      <alignment/>
    </xf>
    <xf numFmtId="179" fontId="48" fillId="25" borderId="0" xfId="60" applyFont="1" applyFill="1" applyBorder="1" applyAlignment="1">
      <alignment horizontal="center" vertical="top" wrapText="1"/>
    </xf>
    <xf numFmtId="2" fontId="51" fillId="25" borderId="0" xfId="60" applyNumberFormat="1" applyFont="1" applyFill="1" applyBorder="1" applyAlignment="1">
      <alignment horizontal="right" vertical="top" wrapText="1"/>
    </xf>
    <xf numFmtId="0" fontId="35" fillId="25" borderId="0" xfId="0" applyFont="1" applyFill="1" applyBorder="1" applyAlignment="1">
      <alignment/>
    </xf>
    <xf numFmtId="0" fontId="35" fillId="25" borderId="0" xfId="0" applyFont="1" applyFill="1" applyBorder="1" applyAlignment="1">
      <alignment horizontal="center"/>
    </xf>
    <xf numFmtId="2" fontId="51" fillId="25" borderId="0" xfId="0" applyNumberFormat="1" applyFont="1" applyFill="1" applyBorder="1" applyAlignment="1">
      <alignment horizontal="right"/>
    </xf>
    <xf numFmtId="0" fontId="13" fillId="25" borderId="0" xfId="0" applyFont="1" applyFill="1" applyBorder="1" applyAlignment="1">
      <alignment horizontal="center"/>
    </xf>
    <xf numFmtId="0" fontId="57" fillId="25" borderId="0" xfId="0" applyFont="1" applyFill="1" applyBorder="1" applyAlignment="1">
      <alignment/>
    </xf>
    <xf numFmtId="0" fontId="57" fillId="25" borderId="51" xfId="0" applyFont="1" applyFill="1" applyBorder="1" applyAlignment="1">
      <alignment/>
    </xf>
    <xf numFmtId="0" fontId="19" fillId="0" borderId="5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5" fillId="25" borderId="52" xfId="0" applyFont="1" applyFill="1" applyBorder="1" applyAlignment="1">
      <alignment/>
    </xf>
    <xf numFmtId="0" fontId="0" fillId="25" borderId="47" xfId="0" applyFont="1" applyFill="1" applyBorder="1" applyAlignment="1">
      <alignment horizontal="center"/>
    </xf>
    <xf numFmtId="43" fontId="34" fillId="0" borderId="0" xfId="0" applyNumberFormat="1" applyFont="1" applyBorder="1" applyAlignment="1">
      <alignment/>
    </xf>
    <xf numFmtId="43" fontId="51" fillId="0" borderId="0" xfId="0" applyNumberFormat="1" applyFont="1" applyBorder="1" applyAlignment="1">
      <alignment/>
    </xf>
    <xf numFmtId="0" fontId="0" fillId="0" borderId="36" xfId="0" applyFont="1" applyBorder="1" applyAlignment="1">
      <alignment horizontal="center" vertical="top" wrapText="1"/>
    </xf>
    <xf numFmtId="0" fontId="35" fillId="25" borderId="37" xfId="0" applyFont="1" applyFill="1" applyBorder="1" applyAlignment="1">
      <alignment horizontal="center"/>
    </xf>
    <xf numFmtId="43" fontId="0" fillId="0" borderId="48" xfId="0" applyNumberFormat="1" applyFont="1" applyBorder="1" applyAlignment="1">
      <alignment/>
    </xf>
    <xf numFmtId="43" fontId="0" fillId="0" borderId="36" xfId="0" applyNumberFormat="1" applyFont="1" applyBorder="1" applyAlignment="1">
      <alignment/>
    </xf>
    <xf numFmtId="43" fontId="0" fillId="0" borderId="24" xfId="0" applyNumberFormat="1" applyBorder="1" applyAlignment="1">
      <alignment/>
    </xf>
    <xf numFmtId="43" fontId="0" fillId="0" borderId="35" xfId="0" applyNumberFormat="1" applyBorder="1" applyAlignment="1">
      <alignment/>
    </xf>
    <xf numFmtId="43" fontId="0" fillId="0" borderId="37" xfId="0" applyNumberFormat="1" applyBorder="1" applyAlignment="1">
      <alignment/>
    </xf>
    <xf numFmtId="43" fontId="0" fillId="0" borderId="49" xfId="0" applyNumberFormat="1" applyFont="1" applyBorder="1" applyAlignment="1">
      <alignment/>
    </xf>
    <xf numFmtId="43" fontId="13" fillId="0" borderId="24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13" fillId="0" borderId="49" xfId="0" applyNumberFormat="1" applyFont="1" applyBorder="1" applyAlignment="1">
      <alignment/>
    </xf>
    <xf numFmtId="0" fontId="35" fillId="0" borderId="0" xfId="0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0" fontId="57" fillId="0" borderId="0" xfId="0" applyFont="1" applyBorder="1" applyAlignment="1">
      <alignment vertical="top" wrapText="1"/>
    </xf>
    <xf numFmtId="179" fontId="60" fillId="0" borderId="0" xfId="60" applyFont="1" applyBorder="1" applyAlignment="1">
      <alignment horizontal="center" vertical="top" wrapText="1"/>
    </xf>
    <xf numFmtId="179" fontId="7" fillId="0" borderId="0" xfId="60" applyFont="1" applyBorder="1" applyAlignment="1">
      <alignment vertical="top" wrapText="1"/>
    </xf>
    <xf numFmtId="0" fontId="0" fillId="25" borderId="0" xfId="0" applyFont="1" applyFill="1" applyBorder="1" applyAlignment="1">
      <alignment wrapText="1"/>
    </xf>
    <xf numFmtId="2" fontId="7" fillId="0" borderId="65" xfId="60" applyNumberFormat="1" applyFont="1" applyBorder="1" applyAlignment="1">
      <alignment vertical="top" wrapText="1"/>
    </xf>
    <xf numFmtId="43" fontId="59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56" fillId="25" borderId="46" xfId="0" applyFont="1" applyFill="1" applyBorder="1" applyAlignment="1">
      <alignment horizontal="center" wrapText="1"/>
    </xf>
    <xf numFmtId="0" fontId="56" fillId="25" borderId="10" xfId="0" applyFont="1" applyFill="1" applyBorder="1" applyAlignment="1">
      <alignment horizontal="center" wrapText="1"/>
    </xf>
    <xf numFmtId="0" fontId="56" fillId="25" borderId="47" xfId="0" applyFont="1" applyFill="1" applyBorder="1" applyAlignment="1">
      <alignment horizontal="center" wrapText="1"/>
    </xf>
    <xf numFmtId="43" fontId="59" fillId="0" borderId="0" xfId="0" applyNumberFormat="1" applyFont="1" applyBorder="1" applyAlignment="1">
      <alignment horizontal="left"/>
    </xf>
    <xf numFmtId="0" fontId="51" fillId="25" borderId="0" xfId="0" applyFont="1" applyFill="1" applyBorder="1" applyAlignment="1">
      <alignment horizontal="right"/>
    </xf>
    <xf numFmtId="0" fontId="19" fillId="25" borderId="58" xfId="0" applyFont="1" applyFill="1" applyBorder="1" applyAlignment="1">
      <alignment horizontal="center"/>
    </xf>
    <xf numFmtId="0" fontId="19" fillId="25" borderId="61" xfId="0" applyFont="1" applyFill="1" applyBorder="1" applyAlignment="1">
      <alignment horizontal="center"/>
    </xf>
    <xf numFmtId="179" fontId="48" fillId="25" borderId="58" xfId="60" applyFont="1" applyFill="1" applyBorder="1" applyAlignment="1">
      <alignment horizontal="center" vertical="top" wrapText="1"/>
    </xf>
    <xf numFmtId="0" fontId="58" fillId="25" borderId="46" xfId="0" applyFont="1" applyFill="1" applyBorder="1" applyAlignment="1">
      <alignment horizontal="center" wrapText="1"/>
    </xf>
    <xf numFmtId="0" fontId="53" fillId="25" borderId="10" xfId="0" applyFont="1" applyFill="1" applyBorder="1" applyAlignment="1">
      <alignment horizontal="center"/>
    </xf>
    <xf numFmtId="0" fontId="55" fillId="25" borderId="24" xfId="0" applyFont="1" applyFill="1" applyBorder="1" applyAlignment="1">
      <alignment/>
    </xf>
    <xf numFmtId="0" fontId="52" fillId="25" borderId="10" xfId="0" applyFont="1" applyFill="1" applyBorder="1" applyAlignment="1">
      <alignment horizontal="center"/>
    </xf>
    <xf numFmtId="0" fontId="55" fillId="25" borderId="48" xfId="0" applyFont="1" applyFill="1" applyBorder="1" applyAlignment="1">
      <alignment horizontal="center"/>
    </xf>
    <xf numFmtId="0" fontId="35" fillId="25" borderId="46" xfId="0" applyFont="1" applyFill="1" applyBorder="1" applyAlignment="1">
      <alignment horizontal="center"/>
    </xf>
    <xf numFmtId="0" fontId="35" fillId="25" borderId="36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25" borderId="46" xfId="0" applyFont="1" applyFill="1" applyBorder="1" applyAlignment="1">
      <alignment horizontal="center"/>
    </xf>
    <xf numFmtId="0" fontId="52" fillId="25" borderId="36" xfId="0" applyFont="1" applyFill="1" applyBorder="1" applyAlignment="1">
      <alignment horizontal="center"/>
    </xf>
    <xf numFmtId="0" fontId="55" fillId="25" borderId="10" xfId="0" applyFont="1" applyFill="1" applyBorder="1" applyAlignment="1">
      <alignment horizontal="left"/>
    </xf>
    <xf numFmtId="0" fontId="55" fillId="25" borderId="47" xfId="0" applyFont="1" applyFill="1" applyBorder="1" applyAlignment="1">
      <alignment horizontal="center"/>
    </xf>
    <xf numFmtId="0" fontId="0" fillId="0" borderId="35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2" fontId="13" fillId="25" borderId="24" xfId="0" applyNumberFormat="1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top" wrapText="1"/>
    </xf>
    <xf numFmtId="2" fontId="0" fillId="25" borderId="10" xfId="0" applyNumberFormat="1" applyFont="1" applyFill="1" applyBorder="1" applyAlignment="1">
      <alignment horizontal="left" vertical="top" wrapText="1"/>
    </xf>
    <xf numFmtId="2" fontId="0" fillId="25" borderId="24" xfId="0" applyNumberFormat="1" applyFont="1" applyFill="1" applyBorder="1" applyAlignment="1">
      <alignment horizontal="left" vertical="top" wrapText="1"/>
    </xf>
    <xf numFmtId="2" fontId="13" fillId="25" borderId="62" xfId="0" applyNumberFormat="1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left"/>
    </xf>
    <xf numFmtId="192" fontId="13" fillId="0" borderId="54" xfId="0" applyNumberFormat="1" applyFont="1" applyFill="1" applyBorder="1" applyAlignment="1">
      <alignment horizontal="left" vertical="top" wrapText="1"/>
    </xf>
    <xf numFmtId="192" fontId="13" fillId="0" borderId="49" xfId="0" applyNumberFormat="1" applyFont="1" applyFill="1" applyBorder="1" applyAlignment="1">
      <alignment horizontal="left" vertical="top" wrapText="1"/>
    </xf>
    <xf numFmtId="2" fontId="0" fillId="25" borderId="66" xfId="0" applyNumberFormat="1" applyFont="1" applyFill="1" applyBorder="1" applyAlignment="1">
      <alignment horizontal="left" vertical="top" wrapText="1"/>
    </xf>
    <xf numFmtId="0" fontId="19" fillId="0" borderId="51" xfId="0" applyFont="1" applyBorder="1" applyAlignment="1">
      <alignment horizontal="center" vertical="top" wrapText="1"/>
    </xf>
    <xf numFmtId="0" fontId="34" fillId="25" borderId="12" xfId="0" applyFont="1" applyFill="1" applyBorder="1" applyAlignment="1">
      <alignment horizontal="center" vertical="top" wrapText="1"/>
    </xf>
    <xf numFmtId="0" fontId="51" fillId="25" borderId="12" xfId="0" applyFont="1" applyFill="1" applyBorder="1" applyAlignment="1">
      <alignment horizontal="center" vertical="center" wrapText="1"/>
    </xf>
    <xf numFmtId="2" fontId="51" fillId="25" borderId="12" xfId="0" applyNumberFormat="1" applyFont="1" applyFill="1" applyBorder="1" applyAlignment="1">
      <alignment horizontal="center" vertical="top" wrapText="1"/>
    </xf>
    <xf numFmtId="2" fontId="51" fillId="25" borderId="16" xfId="0" applyNumberFormat="1" applyFont="1" applyFill="1" applyBorder="1" applyAlignment="1">
      <alignment horizontal="center" vertical="top" wrapText="1"/>
    </xf>
    <xf numFmtId="2" fontId="34" fillId="25" borderId="22" xfId="0" applyNumberFormat="1" applyFont="1" applyFill="1" applyBorder="1" applyAlignment="1">
      <alignment horizontal="center" vertical="top" wrapText="1"/>
    </xf>
    <xf numFmtId="2" fontId="34" fillId="25" borderId="12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2" fontId="0" fillId="25" borderId="21" xfId="0" applyNumberFormat="1" applyFont="1" applyFill="1" applyBorder="1" applyAlignment="1">
      <alignment horizontal="center" vertical="center" wrapText="1"/>
    </xf>
    <xf numFmtId="0" fontId="13" fillId="25" borderId="38" xfId="0" applyFont="1" applyFill="1" applyBorder="1" applyAlignment="1">
      <alignment horizontal="center" vertical="top" wrapText="1"/>
    </xf>
    <xf numFmtId="2" fontId="0" fillId="25" borderId="33" xfId="0" applyNumberFormat="1" applyFont="1" applyFill="1" applyBorder="1" applyAlignment="1">
      <alignment horizontal="center" vertical="top" wrapText="1"/>
    </xf>
    <xf numFmtId="192" fontId="0" fillId="25" borderId="18" xfId="0" applyNumberFormat="1" applyFont="1" applyFill="1" applyBorder="1" applyAlignment="1">
      <alignment horizontal="center" vertical="top" wrapText="1"/>
    </xf>
    <xf numFmtId="2" fontId="13" fillId="25" borderId="12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43" fontId="13" fillId="0" borderId="10" xfId="0" applyNumberFormat="1" applyFont="1" applyBorder="1" applyAlignment="1">
      <alignment/>
    </xf>
    <xf numFmtId="0" fontId="19" fillId="25" borderId="48" xfId="0" applyFont="1" applyFill="1" applyBorder="1" applyAlignment="1">
      <alignment wrapText="1"/>
    </xf>
    <xf numFmtId="4" fontId="51" fillId="25" borderId="28" xfId="0" applyNumberFormat="1" applyFont="1" applyFill="1" applyBorder="1" applyAlignment="1">
      <alignment/>
    </xf>
    <xf numFmtId="0" fontId="31" fillId="25" borderId="28" xfId="0" applyFont="1" applyFill="1" applyBorder="1" applyAlignment="1">
      <alignment/>
    </xf>
    <xf numFmtId="2" fontId="51" fillId="25" borderId="22" xfId="0" applyNumberFormat="1" applyFont="1" applyFill="1" applyBorder="1" applyAlignment="1">
      <alignment/>
    </xf>
    <xf numFmtId="0" fontId="19" fillId="25" borderId="12" xfId="0" applyFont="1" applyFill="1" applyBorder="1" applyAlignment="1">
      <alignment wrapText="1"/>
    </xf>
    <xf numFmtId="0" fontId="37" fillId="25" borderId="49" xfId="0" applyFont="1" applyFill="1" applyBorder="1" applyAlignment="1">
      <alignment/>
    </xf>
    <xf numFmtId="0" fontId="55" fillId="25" borderId="37" xfId="0" applyFont="1" applyFill="1" applyBorder="1" applyAlignment="1">
      <alignment/>
    </xf>
    <xf numFmtId="0" fontId="51" fillId="25" borderId="50" xfId="0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51" fillId="25" borderId="43" xfId="0" applyFont="1" applyFill="1" applyBorder="1" applyAlignment="1">
      <alignment/>
    </xf>
    <xf numFmtId="0" fontId="51" fillId="25" borderId="22" xfId="0" applyFont="1" applyFill="1" applyBorder="1" applyAlignment="1">
      <alignment/>
    </xf>
    <xf numFmtId="0" fontId="19" fillId="25" borderId="12" xfId="0" applyFont="1" applyFill="1" applyBorder="1" applyAlignment="1">
      <alignment horizontal="right" wrapText="1"/>
    </xf>
    <xf numFmtId="0" fontId="19" fillId="25" borderId="12" xfId="0" applyFont="1" applyFill="1" applyBorder="1" applyAlignment="1">
      <alignment horizontal="right"/>
    </xf>
    <xf numFmtId="0" fontId="37" fillId="25" borderId="48" xfId="0" applyFont="1" applyFill="1" applyBorder="1" applyAlignment="1">
      <alignment/>
    </xf>
    <xf numFmtId="0" fontId="19" fillId="25" borderId="36" xfId="0" applyFont="1" applyFill="1" applyBorder="1" applyAlignment="1">
      <alignment/>
    </xf>
    <xf numFmtId="0" fontId="57" fillId="25" borderId="48" xfId="0" applyFont="1" applyFill="1" applyBorder="1" applyAlignment="1">
      <alignment/>
    </xf>
    <xf numFmtId="2" fontId="51" fillId="25" borderId="53" xfId="0" applyNumberFormat="1" applyFont="1" applyFill="1" applyBorder="1" applyAlignment="1">
      <alignment/>
    </xf>
    <xf numFmtId="0" fontId="55" fillId="25" borderId="40" xfId="0" applyFont="1" applyFill="1" applyBorder="1" applyAlignment="1">
      <alignment horizontal="center"/>
    </xf>
    <xf numFmtId="0" fontId="57" fillId="25" borderId="43" xfId="0" applyFont="1" applyFill="1" applyBorder="1" applyAlignment="1">
      <alignment/>
    </xf>
    <xf numFmtId="0" fontId="19" fillId="25" borderId="49" xfId="0" applyFont="1" applyFill="1" applyBorder="1" applyAlignment="1">
      <alignment wrapText="1"/>
    </xf>
    <xf numFmtId="0" fontId="56" fillId="25" borderId="36" xfId="0" applyFont="1" applyFill="1" applyBorder="1" applyAlignment="1">
      <alignment horizontal="center" wrapText="1"/>
    </xf>
    <xf numFmtId="2" fontId="51" fillId="25" borderId="22" xfId="0" applyNumberFormat="1" applyFont="1" applyFill="1" applyBorder="1" applyAlignment="1">
      <alignment/>
    </xf>
    <xf numFmtId="0" fontId="56" fillId="25" borderId="48" xfId="0" applyFont="1" applyFill="1" applyBorder="1" applyAlignment="1">
      <alignment horizontal="center" wrapText="1"/>
    </xf>
    <xf numFmtId="0" fontId="56" fillId="25" borderId="40" xfId="0" applyFont="1" applyFill="1" applyBorder="1" applyAlignment="1">
      <alignment horizontal="center" wrapText="1"/>
    </xf>
    <xf numFmtId="0" fontId="51" fillId="25" borderId="43" xfId="0" applyFont="1" applyFill="1" applyBorder="1" applyAlignment="1">
      <alignment/>
    </xf>
    <xf numFmtId="0" fontId="56" fillId="25" borderId="53" xfId="0" applyFont="1" applyFill="1" applyBorder="1" applyAlignment="1">
      <alignment horizontal="center" wrapText="1"/>
    </xf>
    <xf numFmtId="0" fontId="51" fillId="25" borderId="49" xfId="0" applyFont="1" applyFill="1" applyBorder="1" applyAlignment="1">
      <alignment/>
    </xf>
    <xf numFmtId="0" fontId="19" fillId="25" borderId="12" xfId="0" applyFont="1" applyFill="1" applyBorder="1" applyAlignment="1">
      <alignment horizontal="left" wrapText="1"/>
    </xf>
    <xf numFmtId="0" fontId="56" fillId="25" borderId="49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right"/>
    </xf>
    <xf numFmtId="0" fontId="55" fillId="25" borderId="36" xfId="0" applyFont="1" applyFill="1" applyBorder="1" applyAlignment="1">
      <alignment/>
    </xf>
    <xf numFmtId="0" fontId="55" fillId="25" borderId="23" xfId="0" applyFont="1" applyFill="1" applyBorder="1" applyAlignment="1">
      <alignment horizontal="center"/>
    </xf>
    <xf numFmtId="2" fontId="51" fillId="25" borderId="62" xfId="0" applyNumberFormat="1" applyFont="1" applyFill="1" applyBorder="1" applyAlignment="1">
      <alignment/>
    </xf>
    <xf numFmtId="0" fontId="1" fillId="25" borderId="48" xfId="0" applyFont="1" applyFill="1" applyBorder="1" applyAlignment="1">
      <alignment/>
    </xf>
    <xf numFmtId="0" fontId="51" fillId="25" borderId="62" xfId="0" applyFont="1" applyFill="1" applyBorder="1" applyAlignment="1">
      <alignment/>
    </xf>
    <xf numFmtId="0" fontId="3" fillId="25" borderId="12" xfId="0" applyFont="1" applyFill="1" applyBorder="1" applyAlignment="1">
      <alignment horizontal="right"/>
    </xf>
    <xf numFmtId="0" fontId="55" fillId="25" borderId="42" xfId="0" applyFont="1" applyFill="1" applyBorder="1" applyAlignment="1">
      <alignment horizontal="center"/>
    </xf>
    <xf numFmtId="0" fontId="51" fillId="25" borderId="67" xfId="0" applyFont="1" applyFill="1" applyBorder="1" applyAlignment="1">
      <alignment/>
    </xf>
    <xf numFmtId="0" fontId="51" fillId="25" borderId="65" xfId="0" applyFont="1" applyFill="1" applyBorder="1" applyAlignment="1">
      <alignment/>
    </xf>
    <xf numFmtId="0" fontId="1" fillId="25" borderId="35" xfId="0" applyFont="1" applyFill="1" applyBorder="1" applyAlignment="1">
      <alignment/>
    </xf>
    <xf numFmtId="0" fontId="55" fillId="25" borderId="49" xfId="0" applyFont="1" applyFill="1" applyBorder="1" applyAlignment="1">
      <alignment horizontal="center"/>
    </xf>
    <xf numFmtId="2" fontId="51" fillId="25" borderId="49" xfId="0" applyNumberFormat="1" applyFont="1" applyFill="1" applyBorder="1" applyAlignment="1">
      <alignment/>
    </xf>
    <xf numFmtId="0" fontId="51" fillId="25" borderId="49" xfId="0" applyFont="1" applyFill="1" applyBorder="1" applyAlignment="1">
      <alignment/>
    </xf>
    <xf numFmtId="0" fontId="19" fillId="25" borderId="12" xfId="0" applyFont="1" applyFill="1" applyBorder="1" applyAlignment="1">
      <alignment horizontal="left"/>
    </xf>
    <xf numFmtId="0" fontId="19" fillId="25" borderId="10" xfId="0" applyFont="1" applyFill="1" applyBorder="1" applyAlignment="1">
      <alignment horizontal="right"/>
    </xf>
    <xf numFmtId="2" fontId="34" fillId="25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4" fillId="25" borderId="22" xfId="0" applyFont="1" applyFill="1" applyBorder="1" applyAlignment="1">
      <alignment/>
    </xf>
    <xf numFmtId="2" fontId="34" fillId="25" borderId="53" xfId="0" applyNumberFormat="1" applyFont="1" applyFill="1" applyBorder="1" applyAlignment="1">
      <alignment/>
    </xf>
    <xf numFmtId="0" fontId="37" fillId="25" borderId="54" xfId="0" applyFont="1" applyFill="1" applyBorder="1" applyAlignment="1">
      <alignment/>
    </xf>
    <xf numFmtId="0" fontId="55" fillId="25" borderId="49" xfId="0" applyFont="1" applyFill="1" applyBorder="1" applyAlignment="1">
      <alignment/>
    </xf>
    <xf numFmtId="0" fontId="1" fillId="25" borderId="49" xfId="0" applyFont="1" applyFill="1" applyBorder="1" applyAlignment="1">
      <alignment/>
    </xf>
    <xf numFmtId="0" fontId="51" fillId="25" borderId="54" xfId="0" applyFont="1" applyFill="1" applyBorder="1" applyAlignment="1">
      <alignment/>
    </xf>
    <xf numFmtId="0" fontId="3" fillId="25" borderId="16" xfId="0" applyFont="1" applyFill="1" applyBorder="1" applyAlignment="1">
      <alignment horizontal="right"/>
    </xf>
    <xf numFmtId="0" fontId="3" fillId="25" borderId="16" xfId="0" applyFont="1" applyFill="1" applyBorder="1" applyAlignment="1">
      <alignment/>
    </xf>
    <xf numFmtId="0" fontId="55" fillId="25" borderId="60" xfId="0" applyFont="1" applyFill="1" applyBorder="1" applyAlignment="1">
      <alignment horizontal="center"/>
    </xf>
    <xf numFmtId="0" fontId="51" fillId="25" borderId="57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25" borderId="37" xfId="0" applyFont="1" applyFill="1" applyBorder="1" applyAlignment="1">
      <alignment wrapText="1"/>
    </xf>
    <xf numFmtId="0" fontId="1" fillId="25" borderId="49" xfId="0" applyFont="1" applyFill="1" applyBorder="1" applyAlignment="1">
      <alignment wrapText="1"/>
    </xf>
    <xf numFmtId="0" fontId="50" fillId="25" borderId="28" xfId="0" applyFont="1" applyFill="1" applyBorder="1" applyAlignment="1">
      <alignment/>
    </xf>
    <xf numFmtId="0" fontId="56" fillId="25" borderId="12" xfId="0" applyFont="1" applyFill="1" applyBorder="1" applyAlignment="1">
      <alignment wrapText="1"/>
    </xf>
    <xf numFmtId="0" fontId="50" fillId="25" borderId="12" xfId="0" applyFont="1" applyFill="1" applyBorder="1" applyAlignment="1">
      <alignment/>
    </xf>
    <xf numFmtId="2" fontId="41" fillId="25" borderId="22" xfId="0" applyNumberFormat="1" applyFont="1" applyFill="1" applyBorder="1" applyAlignment="1">
      <alignment/>
    </xf>
    <xf numFmtId="2" fontId="34" fillId="25" borderId="62" xfId="0" applyNumberFormat="1" applyFont="1" applyFill="1" applyBorder="1" applyAlignment="1">
      <alignment/>
    </xf>
    <xf numFmtId="0" fontId="34" fillId="25" borderId="65" xfId="0" applyFont="1" applyFill="1" applyBorder="1" applyAlignment="1">
      <alignment/>
    </xf>
    <xf numFmtId="0" fontId="55" fillId="25" borderId="12" xfId="0" applyFont="1" applyFill="1" applyBorder="1" applyAlignment="1">
      <alignment horizontal="center"/>
    </xf>
    <xf numFmtId="0" fontId="55" fillId="25" borderId="64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right"/>
    </xf>
    <xf numFmtId="0" fontId="34" fillId="25" borderId="62" xfId="0" applyFont="1" applyFill="1" applyBorder="1" applyAlignment="1">
      <alignment/>
    </xf>
    <xf numFmtId="0" fontId="3" fillId="25" borderId="36" xfId="0" applyFont="1" applyFill="1" applyBorder="1" applyAlignment="1">
      <alignment horizontal="right"/>
    </xf>
    <xf numFmtId="0" fontId="55" fillId="25" borderId="28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0" fontId="51" fillId="25" borderId="12" xfId="0" applyFont="1" applyFill="1" applyBorder="1" applyAlignment="1">
      <alignment/>
    </xf>
    <xf numFmtId="2" fontId="34" fillId="25" borderId="10" xfId="0" applyNumberFormat="1" applyFont="1" applyFill="1" applyBorder="1" applyAlignment="1">
      <alignment/>
    </xf>
    <xf numFmtId="4" fontId="51" fillId="25" borderId="23" xfId="0" applyNumberFormat="1" applyFont="1" applyFill="1" applyBorder="1" applyAlignment="1">
      <alignment/>
    </xf>
    <xf numFmtId="0" fontId="19" fillId="25" borderId="23" xfId="0" applyFont="1" applyFill="1" applyBorder="1" applyAlignment="1">
      <alignment horizontal="right" wrapText="1"/>
    </xf>
    <xf numFmtId="0" fontId="31" fillId="25" borderId="12" xfId="0" applyFont="1" applyFill="1" applyBorder="1" applyAlignment="1">
      <alignment/>
    </xf>
    <xf numFmtId="0" fontId="55" fillId="25" borderId="48" xfId="0" applyFont="1" applyFill="1" applyBorder="1" applyAlignment="1">
      <alignment horizontal="left"/>
    </xf>
    <xf numFmtId="0" fontId="55" fillId="25" borderId="40" xfId="0" applyFont="1" applyFill="1" applyBorder="1" applyAlignment="1">
      <alignment horizontal="left"/>
    </xf>
    <xf numFmtId="0" fontId="55" fillId="25" borderId="43" xfId="0" applyFont="1" applyFill="1" applyBorder="1" applyAlignment="1">
      <alignment horizontal="center"/>
    </xf>
    <xf numFmtId="0" fontId="3" fillId="25" borderId="37" xfId="0" applyFont="1" applyFill="1" applyBorder="1" applyAlignment="1">
      <alignment/>
    </xf>
    <xf numFmtId="0" fontId="34" fillId="25" borderId="36" xfId="0" applyFont="1" applyFill="1" applyBorder="1" applyAlignment="1">
      <alignment/>
    </xf>
    <xf numFmtId="2" fontId="51" fillId="25" borderId="54" xfId="0" applyNumberFormat="1" applyFont="1" applyFill="1" applyBorder="1" applyAlignment="1">
      <alignment horizontal="right"/>
    </xf>
    <xf numFmtId="0" fontId="19" fillId="25" borderId="16" xfId="0" applyFont="1" applyFill="1" applyBorder="1" applyAlignment="1">
      <alignment horizontal="right"/>
    </xf>
    <xf numFmtId="0" fontId="19" fillId="25" borderId="48" xfId="0" applyFont="1" applyFill="1" applyBorder="1" applyAlignment="1">
      <alignment horizontal="right"/>
    </xf>
    <xf numFmtId="2" fontId="51" fillId="25" borderId="48" xfId="0" applyNumberFormat="1" applyFont="1" applyFill="1" applyBorder="1" applyAlignment="1">
      <alignment horizontal="right"/>
    </xf>
    <xf numFmtId="0" fontId="57" fillId="25" borderId="35" xfId="0" applyFont="1" applyFill="1" applyBorder="1" applyAlignment="1">
      <alignment/>
    </xf>
    <xf numFmtId="0" fontId="57" fillId="25" borderId="28" xfId="0" applyFont="1" applyFill="1" applyBorder="1" applyAlignment="1">
      <alignment/>
    </xf>
    <xf numFmtId="0" fontId="19" fillId="25" borderId="23" xfId="0" applyFont="1" applyFill="1" applyBorder="1" applyAlignment="1">
      <alignment horizontal="right"/>
    </xf>
    <xf numFmtId="0" fontId="57" fillId="25" borderId="12" xfId="0" applyFont="1" applyFill="1" applyBorder="1" applyAlignment="1">
      <alignment/>
    </xf>
    <xf numFmtId="0" fontId="57" fillId="25" borderId="16" xfId="0" applyFont="1" applyFill="1" applyBorder="1" applyAlignment="1">
      <alignment/>
    </xf>
    <xf numFmtId="0" fontId="1" fillId="25" borderId="24" xfId="0" applyFont="1" applyFill="1" applyBorder="1" applyAlignment="1">
      <alignment wrapText="1"/>
    </xf>
    <xf numFmtId="0" fontId="1" fillId="25" borderId="35" xfId="0" applyFont="1" applyFill="1" applyBorder="1" applyAlignment="1">
      <alignment wrapText="1"/>
    </xf>
    <xf numFmtId="0" fontId="37" fillId="25" borderId="48" xfId="0" applyFont="1" applyFill="1" applyBorder="1" applyAlignment="1">
      <alignment horizontal="left" wrapText="1"/>
    </xf>
    <xf numFmtId="0" fontId="19" fillId="25" borderId="36" xfId="0" applyFont="1" applyFill="1" applyBorder="1" applyAlignment="1">
      <alignment horizontal="left"/>
    </xf>
    <xf numFmtId="2" fontId="34" fillId="25" borderId="10" xfId="0" applyNumberFormat="1" applyFont="1" applyFill="1" applyBorder="1" applyAlignment="1">
      <alignment horizontal="right"/>
    </xf>
    <xf numFmtId="2" fontId="34" fillId="25" borderId="62" xfId="0" applyNumberFormat="1" applyFont="1" applyFill="1" applyBorder="1" applyAlignment="1">
      <alignment horizontal="right"/>
    </xf>
    <xf numFmtId="2" fontId="34" fillId="25" borderId="17" xfId="0" applyNumberFormat="1" applyFont="1" applyFill="1" applyBorder="1" applyAlignment="1">
      <alignment/>
    </xf>
    <xf numFmtId="0" fontId="19" fillId="25" borderId="12" xfId="0" applyFont="1" applyFill="1" applyBorder="1" applyAlignment="1">
      <alignment/>
    </xf>
    <xf numFmtId="0" fontId="55" fillId="25" borderId="50" xfId="0" applyFont="1" applyFill="1" applyBorder="1" applyAlignment="1">
      <alignment horizontal="center"/>
    </xf>
    <xf numFmtId="0" fontId="51" fillId="25" borderId="53" xfId="0" applyFont="1" applyFill="1" applyBorder="1" applyAlignment="1">
      <alignment/>
    </xf>
    <xf numFmtId="2" fontId="37" fillId="25" borderId="46" xfId="0" applyNumberFormat="1" applyFont="1" applyFill="1" applyBorder="1" applyAlignment="1">
      <alignment horizontal="right"/>
    </xf>
    <xf numFmtId="0" fontId="51" fillId="25" borderId="43" xfId="0" applyFont="1" applyFill="1" applyBorder="1" applyAlignment="1">
      <alignment horizontal="center"/>
    </xf>
    <xf numFmtId="2" fontId="37" fillId="25" borderId="0" xfId="0" applyNumberFormat="1" applyFont="1" applyFill="1" applyBorder="1" applyAlignment="1">
      <alignment horizontal="right"/>
    </xf>
    <xf numFmtId="0" fontId="51" fillId="25" borderId="37" xfId="0" applyFont="1" applyFill="1" applyBorder="1" applyAlignment="1">
      <alignment/>
    </xf>
    <xf numFmtId="0" fontId="19" fillId="25" borderId="40" xfId="0" applyFont="1" applyFill="1" applyBorder="1" applyAlignment="1">
      <alignment horizontal="right"/>
    </xf>
    <xf numFmtId="0" fontId="46" fillId="25" borderId="49" xfId="0" applyFont="1" applyFill="1" applyBorder="1" applyAlignment="1">
      <alignment/>
    </xf>
    <xf numFmtId="0" fontId="46" fillId="25" borderId="12" xfId="0" applyFont="1" applyFill="1" applyBorder="1" applyAlignment="1">
      <alignment horizontal="right"/>
    </xf>
    <xf numFmtId="0" fontId="52" fillId="25" borderId="49" xfId="0" applyFont="1" applyFill="1" applyBorder="1" applyAlignment="1">
      <alignment horizontal="center"/>
    </xf>
    <xf numFmtId="0" fontId="34" fillId="25" borderId="49" xfId="0" applyFont="1" applyFill="1" applyBorder="1" applyAlignment="1">
      <alignment/>
    </xf>
    <xf numFmtId="0" fontId="52" fillId="25" borderId="40" xfId="0" applyFont="1" applyFill="1" applyBorder="1" applyAlignment="1">
      <alignment horizontal="center"/>
    </xf>
    <xf numFmtId="0" fontId="51" fillId="25" borderId="39" xfId="0" applyFont="1" applyFill="1" applyBorder="1" applyAlignment="1">
      <alignment/>
    </xf>
    <xf numFmtId="0" fontId="46" fillId="25" borderId="40" xfId="0" applyFont="1" applyFill="1" applyBorder="1" applyAlignment="1">
      <alignment/>
    </xf>
    <xf numFmtId="0" fontId="52" fillId="25" borderId="43" xfId="0" applyFont="1" applyFill="1" applyBorder="1" applyAlignment="1">
      <alignment horizontal="center"/>
    </xf>
    <xf numFmtId="0" fontId="55" fillId="25" borderId="68" xfId="0" applyFont="1" applyFill="1" applyBorder="1" applyAlignment="1">
      <alignment horizontal="center"/>
    </xf>
    <xf numFmtId="0" fontId="51" fillId="25" borderId="69" xfId="0" applyFont="1" applyFill="1" applyBorder="1" applyAlignment="1">
      <alignment horizontal="center"/>
    </xf>
    <xf numFmtId="2" fontId="51" fillId="25" borderId="11" xfId="0" applyNumberFormat="1" applyFont="1" applyFill="1" applyBorder="1" applyAlignment="1">
      <alignment/>
    </xf>
    <xf numFmtId="0" fontId="46" fillId="25" borderId="23" xfId="0" applyFont="1" applyFill="1" applyBorder="1" applyAlignment="1">
      <alignment horizontal="right"/>
    </xf>
    <xf numFmtId="0" fontId="52" fillId="25" borderId="12" xfId="0" applyFont="1" applyFill="1" applyBorder="1" applyAlignment="1">
      <alignment horizontal="center"/>
    </xf>
    <xf numFmtId="0" fontId="19" fillId="25" borderId="23" xfId="0" applyFont="1" applyFill="1" applyBorder="1" applyAlignment="1">
      <alignment horizontal="left"/>
    </xf>
    <xf numFmtId="0" fontId="55" fillId="25" borderId="60" xfId="0" applyFont="1" applyFill="1" applyBorder="1" applyAlignment="1">
      <alignment horizontal="left"/>
    </xf>
    <xf numFmtId="0" fontId="19" fillId="25" borderId="16" xfId="0" applyFont="1" applyFill="1" applyBorder="1" applyAlignment="1">
      <alignment wrapText="1"/>
    </xf>
    <xf numFmtId="2" fontId="50" fillId="25" borderId="65" xfId="0" applyNumberFormat="1" applyFont="1" applyFill="1" applyBorder="1" applyAlignment="1">
      <alignment/>
    </xf>
    <xf numFmtId="0" fontId="56" fillId="25" borderId="60" xfId="0" applyFont="1" applyFill="1" applyBorder="1" applyAlignment="1">
      <alignment horizontal="center" wrapText="1"/>
    </xf>
    <xf numFmtId="0" fontId="50" fillId="25" borderId="57" xfId="0" applyFont="1" applyFill="1" applyBorder="1" applyAlignment="1">
      <alignment/>
    </xf>
    <xf numFmtId="0" fontId="0" fillId="0" borderId="48" xfId="0" applyFont="1" applyBorder="1" applyAlignment="1">
      <alignment/>
    </xf>
    <xf numFmtId="0" fontId="51" fillId="25" borderId="48" xfId="0" applyFont="1" applyFill="1" applyBorder="1" applyAlignment="1">
      <alignment horizontal="center"/>
    </xf>
    <xf numFmtId="0" fontId="19" fillId="25" borderId="49" xfId="0" applyFont="1" applyFill="1" applyBorder="1" applyAlignment="1">
      <alignment horizontal="center"/>
    </xf>
    <xf numFmtId="0" fontId="37" fillId="25" borderId="49" xfId="0" applyFont="1" applyFill="1" applyBorder="1" applyAlignment="1">
      <alignment horizontal="center"/>
    </xf>
    <xf numFmtId="0" fontId="51" fillId="25" borderId="56" xfId="0" applyFont="1" applyFill="1" applyBorder="1" applyAlignment="1">
      <alignment/>
    </xf>
    <xf numFmtId="0" fontId="13" fillId="25" borderId="48" xfId="0" applyFont="1" applyFill="1" applyBorder="1" applyAlignment="1">
      <alignment/>
    </xf>
    <xf numFmtId="0" fontId="51" fillId="25" borderId="23" xfId="0" applyFont="1" applyFill="1" applyBorder="1" applyAlignment="1">
      <alignment/>
    </xf>
    <xf numFmtId="2" fontId="41" fillId="25" borderId="12" xfId="0" applyNumberFormat="1" applyFont="1" applyFill="1" applyBorder="1" applyAlignment="1">
      <alignment/>
    </xf>
    <xf numFmtId="0" fontId="52" fillId="25" borderId="0" xfId="0" applyFont="1" applyFill="1" applyBorder="1" applyAlignment="1">
      <alignment horizontal="center"/>
    </xf>
    <xf numFmtId="0" fontId="51" fillId="25" borderId="54" xfId="0" applyFont="1" applyFill="1" applyBorder="1" applyAlignment="1">
      <alignment horizontal="center"/>
    </xf>
    <xf numFmtId="0" fontId="55" fillId="25" borderId="56" xfId="0" applyFont="1" applyFill="1" applyBorder="1" applyAlignment="1">
      <alignment horizontal="center"/>
    </xf>
    <xf numFmtId="2" fontId="34" fillId="25" borderId="12" xfId="0" applyNumberFormat="1" applyFont="1" applyFill="1" applyBorder="1" applyAlignment="1">
      <alignment/>
    </xf>
    <xf numFmtId="0" fontId="51" fillId="25" borderId="39" xfId="0" applyFont="1" applyFill="1" applyBorder="1" applyAlignment="1">
      <alignment/>
    </xf>
    <xf numFmtId="0" fontId="55" fillId="25" borderId="35" xfId="0" applyFont="1" applyFill="1" applyBorder="1" applyAlignment="1">
      <alignment horizontal="center"/>
    </xf>
    <xf numFmtId="0" fontId="55" fillId="25" borderId="37" xfId="0" applyFont="1" applyFill="1" applyBorder="1" applyAlignment="1">
      <alignment horizontal="center"/>
    </xf>
    <xf numFmtId="0" fontId="51" fillId="25" borderId="23" xfId="0" applyFont="1" applyFill="1" applyBorder="1" applyAlignment="1">
      <alignment/>
    </xf>
    <xf numFmtId="0" fontId="19" fillId="25" borderId="48" xfId="0" applyFont="1" applyFill="1" applyBorder="1" applyAlignment="1">
      <alignment horizontal="left"/>
    </xf>
    <xf numFmtId="0" fontId="19" fillId="25" borderId="49" xfId="0" applyFont="1" applyFill="1" applyBorder="1" applyAlignment="1">
      <alignment/>
    </xf>
    <xf numFmtId="2" fontId="34" fillId="25" borderId="12" xfId="0" applyNumberFormat="1" applyFont="1" applyFill="1" applyBorder="1" applyAlignment="1">
      <alignment/>
    </xf>
    <xf numFmtId="2" fontId="34" fillId="25" borderId="62" xfId="0" applyNumberFormat="1" applyFont="1" applyFill="1" applyBorder="1" applyAlignment="1">
      <alignment/>
    </xf>
    <xf numFmtId="0" fontId="34" fillId="25" borderId="17" xfId="0" applyFont="1" applyFill="1" applyBorder="1" applyAlignment="1">
      <alignment/>
    </xf>
    <xf numFmtId="0" fontId="1" fillId="25" borderId="54" xfId="0" applyFont="1" applyFill="1" applyBorder="1" applyAlignment="1">
      <alignment/>
    </xf>
    <xf numFmtId="0" fontId="19" fillId="25" borderId="37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5" fillId="25" borderId="52" xfId="0" applyFont="1" applyFill="1" applyBorder="1" applyAlignment="1">
      <alignment horizontal="center"/>
    </xf>
    <xf numFmtId="0" fontId="57" fillId="25" borderId="36" xfId="0" applyFont="1" applyFill="1" applyBorder="1" applyAlignment="1">
      <alignment/>
    </xf>
    <xf numFmtId="2" fontId="51" fillId="25" borderId="50" xfId="0" applyNumberFormat="1" applyFont="1" applyFill="1" applyBorder="1" applyAlignment="1">
      <alignment/>
    </xf>
    <xf numFmtId="0" fontId="57" fillId="25" borderId="48" xfId="0" applyFont="1" applyFill="1" applyBorder="1" applyAlignment="1">
      <alignment horizontal="center"/>
    </xf>
    <xf numFmtId="0" fontId="52" fillId="25" borderId="23" xfId="0" applyFont="1" applyFill="1" applyBorder="1" applyAlignment="1">
      <alignment horizontal="center"/>
    </xf>
    <xf numFmtId="0" fontId="52" fillId="25" borderId="67" xfId="0" applyFont="1" applyFill="1" applyBorder="1" applyAlignment="1">
      <alignment horizontal="center"/>
    </xf>
    <xf numFmtId="0" fontId="51" fillId="25" borderId="70" xfId="0" applyFont="1" applyFill="1" applyBorder="1" applyAlignment="1">
      <alignment/>
    </xf>
    <xf numFmtId="0" fontId="19" fillId="25" borderId="16" xfId="0" applyFont="1" applyFill="1" applyBorder="1" applyAlignment="1">
      <alignment horizontal="left"/>
    </xf>
    <xf numFmtId="0" fontId="55" fillId="25" borderId="67" xfId="0" applyFont="1" applyFill="1" applyBorder="1" applyAlignment="1">
      <alignment horizontal="center"/>
    </xf>
    <xf numFmtId="2" fontId="51" fillId="25" borderId="65" xfId="0" applyNumberFormat="1" applyFont="1" applyFill="1" applyBorder="1" applyAlignment="1">
      <alignment/>
    </xf>
    <xf numFmtId="0" fontId="19" fillId="25" borderId="10" xfId="0" applyFont="1" applyFill="1" applyBorder="1" applyAlignment="1">
      <alignment horizontal="left"/>
    </xf>
    <xf numFmtId="0" fontId="31" fillId="25" borderId="40" xfId="0" applyFont="1" applyFill="1" applyBorder="1" applyAlignment="1">
      <alignment/>
    </xf>
    <xf numFmtId="0" fontId="0" fillId="25" borderId="40" xfId="0" applyFont="1" applyFill="1" applyBorder="1" applyAlignment="1">
      <alignment horizontal="center"/>
    </xf>
    <xf numFmtId="0" fontId="57" fillId="25" borderId="36" xfId="0" applyFont="1" applyFill="1" applyBorder="1" applyAlignment="1">
      <alignment horizontal="center"/>
    </xf>
    <xf numFmtId="2" fontId="51" fillId="25" borderId="36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57" fillId="25" borderId="37" xfId="0" applyFont="1" applyFill="1" applyBorder="1" applyAlignment="1">
      <alignment horizontal="center"/>
    </xf>
    <xf numFmtId="0" fontId="0" fillId="25" borderId="50" xfId="0" applyFont="1" applyFill="1" applyBorder="1" applyAlignment="1">
      <alignment horizontal="center"/>
    </xf>
    <xf numFmtId="0" fontId="0" fillId="25" borderId="49" xfId="0" applyFont="1" applyFill="1" applyBorder="1" applyAlignment="1">
      <alignment horizontal="center"/>
    </xf>
    <xf numFmtId="0" fontId="57" fillId="25" borderId="54" xfId="0" applyFont="1" applyFill="1" applyBorder="1" applyAlignment="1">
      <alignment horizontal="center"/>
    </xf>
    <xf numFmtId="2" fontId="51" fillId="25" borderId="49" xfId="0" applyNumberFormat="1" applyFont="1" applyFill="1" applyBorder="1" applyAlignment="1">
      <alignment horizontal="right"/>
    </xf>
    <xf numFmtId="0" fontId="13" fillId="25" borderId="36" xfId="0" applyFont="1" applyFill="1" applyBorder="1" applyAlignment="1">
      <alignment horizontal="center"/>
    </xf>
    <xf numFmtId="0" fontId="57" fillId="25" borderId="39" xfId="0" applyFont="1" applyFill="1" applyBorder="1" applyAlignment="1">
      <alignment horizontal="center"/>
    </xf>
    <xf numFmtId="0" fontId="19" fillId="25" borderId="16" xfId="0" applyFont="1" applyFill="1" applyBorder="1" applyAlignment="1">
      <alignment/>
    </xf>
    <xf numFmtId="0" fontId="19" fillId="25" borderId="48" xfId="0" applyFont="1" applyFill="1" applyBorder="1" applyAlignment="1">
      <alignment/>
    </xf>
    <xf numFmtId="0" fontId="57" fillId="25" borderId="43" xfId="0" applyFont="1" applyFill="1" applyBorder="1" applyAlignment="1">
      <alignment horizontal="center"/>
    </xf>
    <xf numFmtId="0" fontId="19" fillId="25" borderId="35" xfId="0" applyFont="1" applyFill="1" applyBorder="1" applyAlignment="1">
      <alignment horizontal="left"/>
    </xf>
    <xf numFmtId="0" fontId="37" fillId="25" borderId="54" xfId="0" applyFont="1" applyFill="1" applyBorder="1" applyAlignment="1">
      <alignment horizontal="left"/>
    </xf>
    <xf numFmtId="0" fontId="0" fillId="25" borderId="16" xfId="0" applyFont="1" applyFill="1" applyBorder="1" applyAlignment="1">
      <alignment horizontal="center"/>
    </xf>
    <xf numFmtId="0" fontId="37" fillId="25" borderId="18" xfId="0" applyFont="1" applyFill="1" applyBorder="1" applyAlignment="1">
      <alignment horizontal="right"/>
    </xf>
    <xf numFmtId="0" fontId="0" fillId="25" borderId="68" xfId="0" applyFont="1" applyFill="1" applyBorder="1" applyAlignment="1">
      <alignment horizontal="center"/>
    </xf>
    <xf numFmtId="0" fontId="51" fillId="25" borderId="71" xfId="0" applyFont="1" applyFill="1" applyBorder="1" applyAlignment="1">
      <alignment/>
    </xf>
    <xf numFmtId="0" fontId="35" fillId="25" borderId="48" xfId="0" applyFont="1" applyFill="1" applyBorder="1" applyAlignment="1">
      <alignment horizontal="center"/>
    </xf>
    <xf numFmtId="0" fontId="57" fillId="25" borderId="48" xfId="0" applyFont="1" applyFill="1" applyBorder="1" applyAlignment="1">
      <alignment/>
    </xf>
    <xf numFmtId="4" fontId="51" fillId="25" borderId="40" xfId="0" applyNumberFormat="1" applyFont="1" applyFill="1" applyBorder="1" applyAlignment="1">
      <alignment/>
    </xf>
    <xf numFmtId="0" fontId="31" fillId="25" borderId="43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51" fillId="0" borderId="4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2" fontId="51" fillId="0" borderId="49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37" fillId="0" borderId="48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19" fillId="25" borderId="24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51" fillId="0" borderId="37" xfId="0" applyFont="1" applyFill="1" applyBorder="1" applyAlignment="1">
      <alignment/>
    </xf>
    <xf numFmtId="0" fontId="34" fillId="0" borderId="36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37" fillId="0" borderId="48" xfId="0" applyFont="1" applyFill="1" applyBorder="1" applyAlignment="1">
      <alignment horizontal="left"/>
    </xf>
    <xf numFmtId="0" fontId="37" fillId="25" borderId="49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51" fillId="0" borderId="54" xfId="0" applyFont="1" applyFill="1" applyBorder="1" applyAlignment="1">
      <alignment/>
    </xf>
    <xf numFmtId="0" fontId="51" fillId="0" borderId="49" xfId="0" applyFont="1" applyFill="1" applyBorder="1" applyAlignment="1">
      <alignment/>
    </xf>
    <xf numFmtId="0" fontId="37" fillId="0" borderId="49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34" fillId="0" borderId="62" xfId="0" applyFont="1" applyFill="1" applyBorder="1" applyAlignment="1">
      <alignment/>
    </xf>
    <xf numFmtId="4" fontId="59" fillId="25" borderId="49" xfId="0" applyNumberFormat="1" applyFont="1" applyFill="1" applyBorder="1" applyAlignment="1">
      <alignment wrapText="1"/>
    </xf>
    <xf numFmtId="0" fontId="35" fillId="25" borderId="49" xfId="0" applyFont="1" applyFill="1" applyBorder="1" applyAlignment="1">
      <alignment horizontal="left"/>
    </xf>
    <xf numFmtId="0" fontId="37" fillId="0" borderId="10" xfId="0" applyFont="1" applyFill="1" applyBorder="1" applyAlignment="1">
      <alignment wrapText="1"/>
    </xf>
    <xf numFmtId="4" fontId="59" fillId="25" borderId="23" xfId="0" applyNumberFormat="1" applyFont="1" applyFill="1" applyBorder="1" applyAlignment="1">
      <alignment wrapText="1"/>
    </xf>
    <xf numFmtId="0" fontId="19" fillId="25" borderId="62" xfId="0" applyFont="1" applyFill="1" applyBorder="1" applyAlignment="1">
      <alignment/>
    </xf>
    <xf numFmtId="2" fontId="34" fillId="0" borderId="62" xfId="0" applyNumberFormat="1" applyFont="1" applyFill="1" applyBorder="1" applyAlignment="1">
      <alignment/>
    </xf>
    <xf numFmtId="0" fontId="31" fillId="25" borderId="47" xfId="0" applyFont="1" applyFill="1" applyBorder="1" applyAlignment="1">
      <alignment horizontal="center" wrapText="1"/>
    </xf>
    <xf numFmtId="0" fontId="37" fillId="25" borderId="43" xfId="0" applyFont="1" applyFill="1" applyBorder="1" applyAlignment="1">
      <alignment/>
    </xf>
    <xf numFmtId="0" fontId="0" fillId="25" borderId="48" xfId="0" applyFont="1" applyFill="1" applyBorder="1" applyAlignment="1">
      <alignment/>
    </xf>
    <xf numFmtId="0" fontId="0" fillId="25" borderId="37" xfId="0" applyFont="1" applyFill="1" applyBorder="1" applyAlignment="1">
      <alignment horizontal="center"/>
    </xf>
    <xf numFmtId="0" fontId="0" fillId="25" borderId="49" xfId="0" applyFont="1" applyFill="1" applyBorder="1" applyAlignment="1">
      <alignment/>
    </xf>
    <xf numFmtId="0" fontId="0" fillId="25" borderId="43" xfId="0" applyFont="1" applyFill="1" applyBorder="1" applyAlignment="1">
      <alignment/>
    </xf>
    <xf numFmtId="0" fontId="35" fillId="25" borderId="40" xfId="0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/>
    </xf>
    <xf numFmtId="0" fontId="51" fillId="25" borderId="28" xfId="0" applyFont="1" applyFill="1" applyBorder="1" applyAlignment="1">
      <alignment/>
    </xf>
    <xf numFmtId="0" fontId="0" fillId="25" borderId="43" xfId="0" applyFont="1" applyFill="1" applyBorder="1" applyAlignment="1">
      <alignment horizontal="center"/>
    </xf>
    <xf numFmtId="0" fontId="13" fillId="25" borderId="40" xfId="0" applyFont="1" applyFill="1" applyBorder="1" applyAlignment="1">
      <alignment horizontal="center"/>
    </xf>
    <xf numFmtId="0" fontId="37" fillId="25" borderId="39" xfId="0" applyFont="1" applyFill="1" applyBorder="1" applyAlignment="1">
      <alignment/>
    </xf>
    <xf numFmtId="0" fontId="57" fillId="25" borderId="39" xfId="0" applyFont="1" applyFill="1" applyBorder="1" applyAlignment="1">
      <alignment/>
    </xf>
    <xf numFmtId="0" fontId="0" fillId="25" borderId="67" xfId="0" applyFont="1" applyFill="1" applyBorder="1" applyAlignment="1">
      <alignment horizontal="center"/>
    </xf>
    <xf numFmtId="0" fontId="37" fillId="25" borderId="56" xfId="0" applyFont="1" applyFill="1" applyBorder="1" applyAlignment="1">
      <alignment/>
    </xf>
    <xf numFmtId="2" fontId="51" fillId="25" borderId="17" xfId="0" applyNumberFormat="1" applyFont="1" applyFill="1" applyBorder="1" applyAlignment="1">
      <alignment/>
    </xf>
    <xf numFmtId="2" fontId="34" fillId="25" borderId="53" xfId="0" applyNumberFormat="1" applyFont="1" applyFill="1" applyBorder="1" applyAlignment="1">
      <alignment/>
    </xf>
    <xf numFmtId="0" fontId="56" fillId="25" borderId="15" xfId="0" applyFont="1" applyFill="1" applyBorder="1" applyAlignment="1">
      <alignment horizontal="center" wrapText="1"/>
    </xf>
    <xf numFmtId="0" fontId="51" fillId="25" borderId="72" xfId="0" applyFont="1" applyFill="1" applyBorder="1" applyAlignment="1">
      <alignment/>
    </xf>
    <xf numFmtId="2" fontId="51" fillId="25" borderId="73" xfId="0" applyNumberFormat="1" applyFont="1" applyFill="1" applyBorder="1" applyAlignment="1">
      <alignment/>
    </xf>
    <xf numFmtId="0" fontId="19" fillId="25" borderId="2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2" fontId="19" fillId="25" borderId="12" xfId="0" applyNumberFormat="1" applyFont="1" applyFill="1" applyBorder="1" applyAlignment="1">
      <alignment/>
    </xf>
    <xf numFmtId="0" fontId="35" fillId="25" borderId="15" xfId="0" applyFont="1" applyFill="1" applyBorder="1" applyAlignment="1">
      <alignment horizontal="center"/>
    </xf>
    <xf numFmtId="0" fontId="37" fillId="25" borderId="20" xfId="0" applyFont="1" applyFill="1" applyBorder="1" applyAlignment="1">
      <alignment/>
    </xf>
    <xf numFmtId="0" fontId="51" fillId="25" borderId="74" xfId="0" applyFont="1" applyFill="1" applyBorder="1" applyAlignment="1">
      <alignment/>
    </xf>
    <xf numFmtId="179" fontId="60" fillId="25" borderId="10" xfId="60" applyFont="1" applyFill="1" applyBorder="1" applyAlignment="1">
      <alignment horizontal="center" vertical="top" wrapText="1"/>
    </xf>
    <xf numFmtId="2" fontId="34" fillId="25" borderId="48" xfId="0" applyNumberFormat="1" applyFont="1" applyFill="1" applyBorder="1" applyAlignment="1">
      <alignment/>
    </xf>
    <xf numFmtId="2" fontId="41" fillId="25" borderId="62" xfId="0" applyNumberFormat="1" applyFont="1" applyFill="1" applyBorder="1" applyAlignment="1">
      <alignment/>
    </xf>
    <xf numFmtId="2" fontId="34" fillId="25" borderId="75" xfId="0" applyNumberFormat="1" applyFont="1" applyFill="1" applyBorder="1" applyAlignment="1">
      <alignment/>
    </xf>
    <xf numFmtId="0" fontId="56" fillId="25" borderId="50" xfId="0" applyFont="1" applyFill="1" applyBorder="1" applyAlignment="1">
      <alignment horizontal="center" wrapText="1"/>
    </xf>
    <xf numFmtId="0" fontId="51" fillId="25" borderId="52" xfId="0" applyFont="1" applyFill="1" applyBorder="1" applyAlignment="1">
      <alignment/>
    </xf>
    <xf numFmtId="2" fontId="51" fillId="25" borderId="36" xfId="0" applyNumberFormat="1" applyFont="1" applyFill="1" applyBorder="1" applyAlignment="1">
      <alignment/>
    </xf>
    <xf numFmtId="0" fontId="19" fillId="25" borderId="36" xfId="0" applyFont="1" applyFill="1" applyBorder="1" applyAlignment="1">
      <alignment wrapText="1"/>
    </xf>
    <xf numFmtId="2" fontId="51" fillId="25" borderId="49" xfId="0" applyNumberFormat="1" applyFont="1" applyFill="1" applyBorder="1" applyAlignment="1">
      <alignment/>
    </xf>
    <xf numFmtId="0" fontId="50" fillId="25" borderId="52" xfId="0" applyFont="1" applyFill="1" applyBorder="1" applyAlignment="1">
      <alignment/>
    </xf>
    <xf numFmtId="0" fontId="37" fillId="25" borderId="37" xfId="0" applyFont="1" applyFill="1" applyBorder="1" applyAlignment="1">
      <alignment horizontal="left"/>
    </xf>
    <xf numFmtId="0" fontId="46" fillId="25" borderId="12" xfId="0" applyFont="1" applyFill="1" applyBorder="1" applyAlignment="1">
      <alignment/>
    </xf>
    <xf numFmtId="0" fontId="19" fillId="25" borderId="37" xfId="0" applyFont="1" applyFill="1" applyBorder="1" applyAlignment="1">
      <alignment horizontal="left"/>
    </xf>
    <xf numFmtId="2" fontId="34" fillId="25" borderId="36" xfId="0" applyNumberFormat="1" applyFont="1" applyFill="1" applyBorder="1" applyAlignment="1">
      <alignment/>
    </xf>
    <xf numFmtId="0" fontId="1" fillId="25" borderId="54" xfId="0" applyFont="1" applyFill="1" applyBorder="1" applyAlignment="1">
      <alignment wrapText="1"/>
    </xf>
    <xf numFmtId="0" fontId="19" fillId="25" borderId="49" xfId="0" applyFont="1" applyFill="1" applyBorder="1" applyAlignment="1">
      <alignment horizontal="right"/>
    </xf>
    <xf numFmtId="0" fontId="37" fillId="25" borderId="36" xfId="0" applyFont="1" applyFill="1" applyBorder="1" applyAlignment="1">
      <alignment horizontal="left"/>
    </xf>
    <xf numFmtId="0" fontId="19" fillId="25" borderId="24" xfId="0" applyFont="1" applyFill="1" applyBorder="1" applyAlignment="1">
      <alignment horizontal="left"/>
    </xf>
    <xf numFmtId="0" fontId="3" fillId="25" borderId="24" xfId="0" applyFont="1" applyFill="1" applyBorder="1" applyAlignment="1">
      <alignment/>
    </xf>
    <xf numFmtId="0" fontId="0" fillId="25" borderId="51" xfId="0" applyFont="1" applyFill="1" applyBorder="1" applyAlignment="1">
      <alignment horizontal="center"/>
    </xf>
    <xf numFmtId="0" fontId="35" fillId="25" borderId="42" xfId="0" applyFont="1" applyFill="1" applyBorder="1" applyAlignment="1">
      <alignment horizontal="center"/>
    </xf>
    <xf numFmtId="2" fontId="34" fillId="25" borderId="65" xfId="0" applyNumberFormat="1" applyFont="1" applyFill="1" applyBorder="1" applyAlignment="1">
      <alignment/>
    </xf>
    <xf numFmtId="0" fontId="1" fillId="25" borderId="10" xfId="0" applyFont="1" applyFill="1" applyBorder="1" applyAlignment="1">
      <alignment horizontal="left"/>
    </xf>
    <xf numFmtId="0" fontId="3" fillId="25" borderId="36" xfId="0" applyFont="1" applyFill="1" applyBorder="1" applyAlignment="1">
      <alignment horizontal="left"/>
    </xf>
    <xf numFmtId="0" fontId="3" fillId="25" borderId="37" xfId="0" applyFont="1" applyFill="1" applyBorder="1" applyAlignment="1">
      <alignment horizontal="right"/>
    </xf>
    <xf numFmtId="0" fontId="19" fillId="25" borderId="54" xfId="0" applyFont="1" applyFill="1" applyBorder="1" applyAlignment="1">
      <alignment/>
    </xf>
    <xf numFmtId="179" fontId="51" fillId="25" borderId="49" xfId="60" applyFont="1" applyFill="1" applyBorder="1" applyAlignment="1">
      <alignment horizontal="center" vertical="top" wrapText="1"/>
    </xf>
    <xf numFmtId="0" fontId="52" fillId="25" borderId="4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7" fillId="25" borderId="42" xfId="0" applyFont="1" applyFill="1" applyBorder="1" applyAlignment="1">
      <alignment/>
    </xf>
    <xf numFmtId="0" fontId="0" fillId="25" borderId="42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37" fillId="25" borderId="23" xfId="0" applyFont="1" applyFill="1" applyBorder="1" applyAlignment="1">
      <alignment/>
    </xf>
    <xf numFmtId="0" fontId="55" fillId="25" borderId="48" xfId="0" applyFont="1" applyFill="1" applyBorder="1" applyAlignment="1">
      <alignment/>
    </xf>
    <xf numFmtId="0" fontId="57" fillId="25" borderId="42" xfId="0" applyFont="1" applyFill="1" applyBorder="1" applyAlignment="1">
      <alignment/>
    </xf>
    <xf numFmtId="0" fontId="57" fillId="25" borderId="49" xfId="0" applyFont="1" applyFill="1" applyBorder="1" applyAlignment="1">
      <alignment/>
    </xf>
    <xf numFmtId="0" fontId="57" fillId="25" borderId="56" xfId="0" applyFont="1" applyFill="1" applyBorder="1" applyAlignment="1">
      <alignment/>
    </xf>
    <xf numFmtId="16" fontId="55" fillId="25" borderId="36" xfId="0" applyNumberFormat="1" applyFont="1" applyFill="1" applyBorder="1" applyAlignment="1">
      <alignment horizontal="center"/>
    </xf>
    <xf numFmtId="0" fontId="34" fillId="25" borderId="48" xfId="0" applyFont="1" applyFill="1" applyBorder="1" applyAlignment="1">
      <alignment/>
    </xf>
    <xf numFmtId="0" fontId="31" fillId="25" borderId="47" xfId="0" applyFont="1" applyFill="1" applyBorder="1" applyAlignment="1">
      <alignment/>
    </xf>
    <xf numFmtId="0" fontId="31" fillId="25" borderId="28" xfId="0" applyFont="1" applyFill="1" applyBorder="1" applyAlignment="1">
      <alignment horizontal="center"/>
    </xf>
    <xf numFmtId="0" fontId="51" fillId="25" borderId="40" xfId="0" applyFont="1" applyFill="1" applyBorder="1" applyAlignment="1">
      <alignment/>
    </xf>
    <xf numFmtId="0" fontId="19" fillId="25" borderId="36" xfId="0" applyFont="1" applyFill="1" applyBorder="1" applyAlignment="1">
      <alignment horizontal="right"/>
    </xf>
    <xf numFmtId="0" fontId="52" fillId="25" borderId="60" xfId="0" applyFont="1" applyFill="1" applyBorder="1" applyAlignment="1">
      <alignment horizontal="center"/>
    </xf>
    <xf numFmtId="0" fontId="19" fillId="25" borderId="10" xfId="0" applyFont="1" applyFill="1" applyBorder="1" applyAlignment="1">
      <alignment wrapText="1"/>
    </xf>
    <xf numFmtId="2" fontId="41" fillId="25" borderId="10" xfId="0" applyNumberFormat="1" applyFont="1" applyFill="1" applyBorder="1" applyAlignment="1">
      <alignment/>
    </xf>
    <xf numFmtId="0" fontId="3" fillId="25" borderId="35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37" fillId="25" borderId="40" xfId="0" applyFont="1" applyFill="1" applyBorder="1" applyAlignment="1">
      <alignment/>
    </xf>
    <xf numFmtId="0" fontId="31" fillId="25" borderId="22" xfId="0" applyFont="1" applyFill="1" applyBorder="1" applyAlignment="1">
      <alignment horizontal="center"/>
    </xf>
    <xf numFmtId="2" fontId="34" fillId="25" borderId="47" xfId="0" applyNumberFormat="1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29" fillId="0" borderId="10" xfId="60" applyNumberFormat="1" applyFont="1" applyBorder="1" applyAlignment="1">
      <alignment vertical="top" wrapText="1"/>
    </xf>
    <xf numFmtId="0" fontId="33" fillId="0" borderId="10" xfId="0" applyFont="1" applyBorder="1" applyAlignment="1">
      <alignment wrapText="1"/>
    </xf>
    <xf numFmtId="2" fontId="7" fillId="0" borderId="10" xfId="60" applyNumberFormat="1" applyFont="1" applyBorder="1" applyAlignment="1">
      <alignment vertical="top" wrapText="1"/>
    </xf>
    <xf numFmtId="0" fontId="13" fillId="25" borderId="48" xfId="0" applyFont="1" applyFill="1" applyBorder="1" applyAlignment="1">
      <alignment horizontal="center"/>
    </xf>
    <xf numFmtId="0" fontId="13" fillId="25" borderId="10" xfId="0" applyFont="1" applyFill="1" applyBorder="1" applyAlignment="1">
      <alignment/>
    </xf>
    <xf numFmtId="0" fontId="34" fillId="25" borderId="47" xfId="0" applyFont="1" applyFill="1" applyBorder="1" applyAlignment="1">
      <alignment/>
    </xf>
    <xf numFmtId="0" fontId="56" fillId="25" borderId="47" xfId="0" applyFont="1" applyFill="1" applyBorder="1" applyAlignment="1">
      <alignment wrapText="1"/>
    </xf>
    <xf numFmtId="4" fontId="60" fillId="25" borderId="40" xfId="0" applyNumberFormat="1" applyFont="1" applyFill="1" applyBorder="1" applyAlignment="1">
      <alignment horizontal="center"/>
    </xf>
    <xf numFmtId="0" fontId="34" fillId="25" borderId="46" xfId="0" applyFont="1" applyFill="1" applyBorder="1" applyAlignment="1">
      <alignment/>
    </xf>
    <xf numFmtId="0" fontId="57" fillId="25" borderId="37" xfId="0" applyFont="1" applyFill="1" applyBorder="1" applyAlignment="1">
      <alignment/>
    </xf>
    <xf numFmtId="0" fontId="51" fillId="25" borderId="47" xfId="0" applyFont="1" applyFill="1" applyBorder="1" applyAlignment="1">
      <alignment/>
    </xf>
    <xf numFmtId="0" fontId="55" fillId="25" borderId="54" xfId="0" applyFont="1" applyFill="1" applyBorder="1" applyAlignment="1">
      <alignment/>
    </xf>
    <xf numFmtId="0" fontId="19" fillId="25" borderId="12" xfId="0" applyFont="1" applyFill="1" applyBorder="1" applyAlignment="1">
      <alignment horizontal="center" wrapText="1"/>
    </xf>
    <xf numFmtId="0" fontId="57" fillId="25" borderId="23" xfId="0" applyFont="1" applyFill="1" applyBorder="1" applyAlignment="1">
      <alignment/>
    </xf>
    <xf numFmtId="0" fontId="0" fillId="25" borderId="54" xfId="0" applyFont="1" applyFill="1" applyBorder="1" applyAlignment="1">
      <alignment horizontal="center"/>
    </xf>
    <xf numFmtId="0" fontId="37" fillId="25" borderId="46" xfId="0" applyFont="1" applyFill="1" applyBorder="1" applyAlignment="1">
      <alignment/>
    </xf>
    <xf numFmtId="0" fontId="0" fillId="25" borderId="46" xfId="0" applyFont="1" applyFill="1" applyBorder="1" applyAlignment="1">
      <alignment/>
    </xf>
    <xf numFmtId="0" fontId="46" fillId="25" borderId="50" xfId="0" applyFont="1" applyFill="1" applyBorder="1" applyAlignment="1">
      <alignment/>
    </xf>
    <xf numFmtId="0" fontId="37" fillId="25" borderId="46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9" fillId="0" borderId="12" xfId="0" applyFont="1" applyBorder="1" applyAlignment="1">
      <alignment horizontal="right"/>
    </xf>
    <xf numFmtId="0" fontId="37" fillId="0" borderId="40" xfId="0" applyFont="1" applyBorder="1" applyAlignment="1">
      <alignment/>
    </xf>
    <xf numFmtId="0" fontId="51" fillId="0" borderId="43" xfId="0" applyFont="1" applyBorder="1" applyAlignment="1">
      <alignment/>
    </xf>
    <xf numFmtId="179" fontId="34" fillId="0" borderId="62" xfId="0" applyNumberFormat="1" applyFont="1" applyBorder="1" applyAlignment="1">
      <alignment/>
    </xf>
    <xf numFmtId="2" fontId="34" fillId="25" borderId="46" xfId="0" applyNumberFormat="1" applyFont="1" applyFill="1" applyBorder="1" applyAlignment="1">
      <alignment/>
    </xf>
    <xf numFmtId="0" fontId="56" fillId="25" borderId="23" xfId="0" applyFont="1" applyFill="1" applyBorder="1" applyAlignment="1">
      <alignment wrapText="1"/>
    </xf>
    <xf numFmtId="2" fontId="41" fillId="25" borderId="48" xfId="0" applyNumberFormat="1" applyFont="1" applyFill="1" applyBorder="1" applyAlignment="1">
      <alignment/>
    </xf>
    <xf numFmtId="0" fontId="37" fillId="25" borderId="36" xfId="0" applyFont="1" applyFill="1" applyBorder="1" applyAlignment="1">
      <alignment horizontal="left" wrapText="1"/>
    </xf>
    <xf numFmtId="0" fontId="50" fillId="25" borderId="36" xfId="0" applyFont="1" applyFill="1" applyBorder="1" applyAlignment="1">
      <alignment/>
    </xf>
    <xf numFmtId="0" fontId="50" fillId="25" borderId="43" xfId="0" applyFont="1" applyFill="1" applyBorder="1" applyAlignment="1">
      <alignment/>
    </xf>
    <xf numFmtId="0" fontId="37" fillId="25" borderId="49" xfId="0" applyFont="1" applyFill="1" applyBorder="1" applyAlignment="1">
      <alignment horizontal="left" wrapText="1"/>
    </xf>
    <xf numFmtId="0" fontId="51" fillId="25" borderId="64" xfId="0" applyFont="1" applyFill="1" applyBorder="1" applyAlignment="1">
      <alignment/>
    </xf>
    <xf numFmtId="0" fontId="19" fillId="25" borderId="40" xfId="0" applyFont="1" applyFill="1" applyBorder="1" applyAlignment="1">
      <alignment horizontal="right" wrapText="1"/>
    </xf>
    <xf numFmtId="0" fontId="43" fillId="0" borderId="67" xfId="0" applyFont="1" applyBorder="1" applyAlignment="1">
      <alignment wrapText="1"/>
    </xf>
    <xf numFmtId="179" fontId="7" fillId="0" borderId="17" xfId="6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179" fontId="29" fillId="0" borderId="10" xfId="60" applyFont="1" applyBorder="1" applyAlignment="1">
      <alignment vertical="top" wrapText="1"/>
    </xf>
    <xf numFmtId="0" fontId="50" fillId="0" borderId="36" xfId="0" applyFont="1" applyBorder="1" applyAlignment="1">
      <alignment wrapText="1"/>
    </xf>
    <xf numFmtId="179" fontId="29" fillId="0" borderId="50" xfId="60" applyFont="1" applyBorder="1" applyAlignment="1">
      <alignment vertical="top" wrapText="1"/>
    </xf>
    <xf numFmtId="0" fontId="35" fillId="25" borderId="48" xfId="0" applyFont="1" applyFill="1" applyBorder="1" applyAlignment="1">
      <alignment horizontal="left"/>
    </xf>
    <xf numFmtId="0" fontId="56" fillId="25" borderId="50" xfId="0" applyFont="1" applyFill="1" applyBorder="1" applyAlignment="1">
      <alignment wrapText="1"/>
    </xf>
    <xf numFmtId="0" fontId="56" fillId="25" borderId="40" xfId="0" applyFont="1" applyFill="1" applyBorder="1" applyAlignment="1">
      <alignment wrapText="1"/>
    </xf>
    <xf numFmtId="0" fontId="19" fillId="25" borderId="76" xfId="0" applyFont="1" applyFill="1" applyBorder="1" applyAlignment="1">
      <alignment horizontal="center"/>
    </xf>
    <xf numFmtId="0" fontId="37" fillId="25" borderId="76" xfId="0" applyFont="1" applyFill="1" applyBorder="1" applyAlignment="1">
      <alignment/>
    </xf>
    <xf numFmtId="0" fontId="55" fillId="25" borderId="35" xfId="0" applyFont="1" applyFill="1" applyBorder="1" applyAlignment="1">
      <alignment/>
    </xf>
    <xf numFmtId="179" fontId="34" fillId="25" borderId="62" xfId="60" applyFont="1" applyFill="1" applyBorder="1" applyAlignment="1">
      <alignment horizontal="center" vertical="top" wrapText="1"/>
    </xf>
    <xf numFmtId="0" fontId="19" fillId="25" borderId="18" xfId="0" applyFont="1" applyFill="1" applyBorder="1" applyAlignment="1">
      <alignment horizontal="right"/>
    </xf>
    <xf numFmtId="0" fontId="51" fillId="25" borderId="69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2" fontId="19" fillId="25" borderId="11" xfId="0" applyNumberFormat="1" applyFont="1" applyFill="1" applyBorder="1" applyAlignment="1">
      <alignment/>
    </xf>
    <xf numFmtId="0" fontId="35" fillId="25" borderId="51" xfId="0" applyFont="1" applyFill="1" applyBorder="1" applyAlignment="1">
      <alignment horizontal="center"/>
    </xf>
    <xf numFmtId="0" fontId="19" fillId="25" borderId="77" xfId="0" applyFont="1" applyFill="1" applyBorder="1" applyAlignment="1">
      <alignment/>
    </xf>
    <xf numFmtId="0" fontId="55" fillId="25" borderId="54" xfId="0" applyFont="1" applyFill="1" applyBorder="1" applyAlignment="1">
      <alignment horizontal="center"/>
    </xf>
    <xf numFmtId="2" fontId="34" fillId="25" borderId="50" xfId="0" applyNumberFormat="1" applyFont="1" applyFill="1" applyBorder="1" applyAlignment="1">
      <alignment/>
    </xf>
    <xf numFmtId="0" fontId="37" fillId="25" borderId="49" xfId="0" applyFont="1" applyFill="1" applyBorder="1" applyAlignment="1">
      <alignment horizontal="right"/>
    </xf>
    <xf numFmtId="179" fontId="60" fillId="25" borderId="49" xfId="60" applyFont="1" applyFill="1" applyBorder="1" applyAlignment="1">
      <alignment horizontal="center" vertical="top" wrapText="1"/>
    </xf>
    <xf numFmtId="0" fontId="3" fillId="25" borderId="36" xfId="0" applyFont="1" applyFill="1" applyBorder="1" applyAlignment="1">
      <alignment/>
    </xf>
    <xf numFmtId="0" fontId="35" fillId="25" borderId="36" xfId="0" applyFont="1" applyFill="1" applyBorder="1" applyAlignment="1">
      <alignment horizontal="left"/>
    </xf>
    <xf numFmtId="0" fontId="19" fillId="25" borderId="24" xfId="0" applyFont="1" applyFill="1" applyBorder="1" applyAlignment="1">
      <alignment/>
    </xf>
    <xf numFmtId="0" fontId="3" fillId="25" borderId="18" xfId="0" applyFont="1" applyFill="1" applyBorder="1" applyAlignment="1">
      <alignment horizontal="right"/>
    </xf>
    <xf numFmtId="0" fontId="55" fillId="25" borderId="76" xfId="0" applyFont="1" applyFill="1" applyBorder="1" applyAlignment="1">
      <alignment/>
    </xf>
    <xf numFmtId="0" fontId="35" fillId="25" borderId="50" xfId="0" applyFont="1" applyFill="1" applyBorder="1" applyAlignment="1">
      <alignment horizontal="left"/>
    </xf>
    <xf numFmtId="0" fontId="0" fillId="25" borderId="53" xfId="0" applyFont="1" applyFill="1" applyBorder="1" applyAlignment="1">
      <alignment horizontal="center"/>
    </xf>
    <xf numFmtId="0" fontId="0" fillId="25" borderId="64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2" fontId="51" fillId="25" borderId="48" xfId="60" applyNumberFormat="1" applyFont="1" applyFill="1" applyBorder="1" applyAlignment="1">
      <alignment horizontal="right" vertical="top" wrapText="1"/>
    </xf>
    <xf numFmtId="0" fontId="1" fillId="25" borderId="48" xfId="0" applyFont="1" applyFill="1" applyBorder="1" applyAlignment="1">
      <alignment horizontal="right"/>
    </xf>
    <xf numFmtId="2" fontId="34" fillId="25" borderId="36" xfId="0" applyNumberFormat="1" applyFont="1" applyFill="1" applyBorder="1" applyAlignment="1">
      <alignment horizontal="right"/>
    </xf>
    <xf numFmtId="0" fontId="0" fillId="25" borderId="60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left"/>
    </xf>
    <xf numFmtId="0" fontId="3" fillId="25" borderId="48" xfId="0" applyFont="1" applyFill="1" applyBorder="1" applyAlignment="1">
      <alignment horizontal="right"/>
    </xf>
    <xf numFmtId="0" fontId="35" fillId="25" borderId="47" xfId="0" applyFont="1" applyFill="1" applyBorder="1" applyAlignment="1">
      <alignment horizontal="center"/>
    </xf>
    <xf numFmtId="0" fontId="55" fillId="25" borderId="0" xfId="0" applyFont="1" applyFill="1" applyBorder="1" applyAlignment="1">
      <alignment horizontal="right"/>
    </xf>
    <xf numFmtId="0" fontId="35" fillId="25" borderId="49" xfId="0" applyFont="1" applyFill="1" applyBorder="1" applyAlignment="1">
      <alignment horizontal="center"/>
    </xf>
    <xf numFmtId="0" fontId="55" fillId="25" borderId="53" xfId="0" applyFont="1" applyFill="1" applyBorder="1" applyAlignment="1">
      <alignment horizontal="right"/>
    </xf>
    <xf numFmtId="0" fontId="55" fillId="25" borderId="10" xfId="0" applyFont="1" applyFill="1" applyBorder="1" applyAlignment="1">
      <alignment horizontal="right"/>
    </xf>
    <xf numFmtId="2" fontId="34" fillId="25" borderId="62" xfId="60" applyNumberFormat="1" applyFont="1" applyFill="1" applyBorder="1" applyAlignment="1">
      <alignment horizontal="right" vertical="top" wrapText="1"/>
    </xf>
    <xf numFmtId="0" fontId="55" fillId="25" borderId="53" xfId="0" applyFont="1" applyFill="1" applyBorder="1" applyAlignment="1">
      <alignment horizontal="center"/>
    </xf>
    <xf numFmtId="0" fontId="51" fillId="25" borderId="36" xfId="0" applyFont="1" applyFill="1" applyBorder="1" applyAlignment="1">
      <alignment horizontal="right"/>
    </xf>
    <xf numFmtId="0" fontId="50" fillId="25" borderId="35" xfId="0" applyFont="1" applyFill="1" applyBorder="1" applyAlignment="1">
      <alignment/>
    </xf>
    <xf numFmtId="0" fontId="50" fillId="25" borderId="47" xfId="0" applyFont="1" applyFill="1" applyBorder="1" applyAlignment="1">
      <alignment/>
    </xf>
    <xf numFmtId="0" fontId="13" fillId="25" borderId="49" xfId="0" applyFont="1" applyFill="1" applyBorder="1" applyAlignment="1">
      <alignment horizontal="center"/>
    </xf>
    <xf numFmtId="0" fontId="0" fillId="25" borderId="54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6" fontId="19" fillId="25" borderId="37" xfId="0" applyNumberFormat="1" applyFont="1" applyFill="1" applyBorder="1" applyAlignment="1">
      <alignment/>
    </xf>
    <xf numFmtId="0" fontId="55" fillId="25" borderId="23" xfId="0" applyFont="1" applyFill="1" applyBorder="1" applyAlignment="1">
      <alignment/>
    </xf>
    <xf numFmtId="0" fontId="55" fillId="0" borderId="36" xfId="0" applyFont="1" applyFill="1" applyBorder="1" applyAlignment="1">
      <alignment horizontal="center"/>
    </xf>
    <xf numFmtId="2" fontId="41" fillId="25" borderId="47" xfId="0" applyNumberFormat="1" applyFont="1" applyFill="1" applyBorder="1" applyAlignment="1">
      <alignment/>
    </xf>
    <xf numFmtId="0" fontId="34" fillId="25" borderId="53" xfId="0" applyFont="1" applyFill="1" applyBorder="1" applyAlignment="1">
      <alignment/>
    </xf>
    <xf numFmtId="0" fontId="51" fillId="25" borderId="36" xfId="0" applyFont="1" applyFill="1" applyBorder="1" applyAlignment="1">
      <alignment horizontal="center"/>
    </xf>
    <xf numFmtId="0" fontId="51" fillId="25" borderId="43" xfId="0" applyFont="1" applyFill="1" applyBorder="1" applyAlignment="1">
      <alignment horizontal="right"/>
    </xf>
    <xf numFmtId="0" fontId="56" fillId="25" borderId="23" xfId="0" applyFont="1" applyFill="1" applyBorder="1" applyAlignment="1">
      <alignment horizontal="center" wrapText="1"/>
    </xf>
    <xf numFmtId="0" fontId="51" fillId="25" borderId="11" xfId="0" applyFont="1" applyFill="1" applyBorder="1" applyAlignment="1">
      <alignment/>
    </xf>
    <xf numFmtId="0" fontId="56" fillId="0" borderId="40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/>
    </xf>
    <xf numFmtId="0" fontId="19" fillId="25" borderId="36" xfId="0" applyFont="1" applyFill="1" applyBorder="1" applyAlignment="1">
      <alignment horizontal="left" wrapText="1"/>
    </xf>
    <xf numFmtId="0" fontId="37" fillId="25" borderId="10" xfId="0" applyFont="1" applyFill="1" applyBorder="1" applyAlignment="1">
      <alignment horizontal="left" wrapText="1"/>
    </xf>
    <xf numFmtId="2" fontId="41" fillId="0" borderId="62" xfId="0" applyNumberFormat="1" applyFont="1" applyFill="1" applyBorder="1" applyAlignment="1">
      <alignment/>
    </xf>
    <xf numFmtId="0" fontId="45" fillId="25" borderId="67" xfId="0" applyFont="1" applyFill="1" applyBorder="1" applyAlignment="1">
      <alignment/>
    </xf>
    <xf numFmtId="0" fontId="19" fillId="25" borderId="57" xfId="0" applyFont="1" applyFill="1" applyBorder="1" applyAlignment="1">
      <alignment horizontal="center"/>
    </xf>
    <xf numFmtId="0" fontId="37" fillId="25" borderId="57" xfId="0" applyFont="1" applyFill="1" applyBorder="1" applyAlignment="1">
      <alignment/>
    </xf>
    <xf numFmtId="2" fontId="19" fillId="25" borderId="17" xfId="0" applyNumberFormat="1" applyFont="1" applyFill="1" applyBorder="1" applyAlignment="1">
      <alignment/>
    </xf>
    <xf numFmtId="0" fontId="19" fillId="25" borderId="10" xfId="0" applyFont="1" applyFill="1" applyBorder="1" applyAlignment="1">
      <alignment horizontal="center"/>
    </xf>
    <xf numFmtId="0" fontId="19" fillId="25" borderId="50" xfId="0" applyFont="1" applyFill="1" applyBorder="1" applyAlignment="1">
      <alignment horizontal="center"/>
    </xf>
    <xf numFmtId="0" fontId="7" fillId="0" borderId="54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7" fillId="0" borderId="70" xfId="0" applyFont="1" applyBorder="1" applyAlignment="1">
      <alignment vertical="top" wrapText="1"/>
    </xf>
    <xf numFmtId="0" fontId="7" fillId="0" borderId="48" xfId="0" applyFont="1" applyBorder="1" applyAlignment="1">
      <alignment horizontal="center" vertical="top" wrapText="1"/>
    </xf>
    <xf numFmtId="0" fontId="34" fillId="25" borderId="12" xfId="0" applyFont="1" applyFill="1" applyBorder="1" applyAlignment="1">
      <alignment horizontal="right"/>
    </xf>
    <xf numFmtId="0" fontId="19" fillId="25" borderId="48" xfId="0" applyFont="1" applyFill="1" applyBorder="1" applyAlignment="1">
      <alignment horizontal="center"/>
    </xf>
    <xf numFmtId="2" fontId="37" fillId="25" borderId="48" xfId="0" applyNumberFormat="1" applyFont="1" applyFill="1" applyBorder="1" applyAlignment="1">
      <alignment/>
    </xf>
    <xf numFmtId="0" fontId="19" fillId="25" borderId="40" xfId="0" applyFont="1" applyFill="1" applyBorder="1" applyAlignment="1">
      <alignment horizontal="center"/>
    </xf>
    <xf numFmtId="0" fontId="45" fillId="25" borderId="49" xfId="0" applyFont="1" applyFill="1" applyBorder="1" applyAlignment="1">
      <alignment/>
    </xf>
    <xf numFmtId="0" fontId="51" fillId="25" borderId="48" xfId="0" applyFont="1" applyFill="1" applyBorder="1" applyAlignment="1">
      <alignment horizontal="left"/>
    </xf>
    <xf numFmtId="0" fontId="37" fillId="25" borderId="48" xfId="0" applyFont="1" applyFill="1" applyBorder="1" applyAlignment="1">
      <alignment horizontal="center"/>
    </xf>
    <xf numFmtId="0" fontId="51" fillId="25" borderId="48" xfId="0" applyFont="1" applyFill="1" applyBorder="1" applyAlignment="1">
      <alignment horizontal="right"/>
    </xf>
    <xf numFmtId="0" fontId="19" fillId="25" borderId="18" xfId="0" applyFont="1" applyFill="1" applyBorder="1" applyAlignment="1">
      <alignment/>
    </xf>
    <xf numFmtId="2" fontId="37" fillId="25" borderId="49" xfId="0" applyNumberFormat="1" applyFont="1" applyFill="1" applyBorder="1" applyAlignment="1">
      <alignment/>
    </xf>
    <xf numFmtId="0" fontId="34" fillId="25" borderId="36" xfId="0" applyFont="1" applyFill="1" applyBorder="1" applyAlignment="1">
      <alignment horizontal="left"/>
    </xf>
    <xf numFmtId="0" fontId="19" fillId="25" borderId="67" xfId="0" applyFont="1" applyFill="1" applyBorder="1" applyAlignment="1">
      <alignment horizontal="center"/>
    </xf>
    <xf numFmtId="2" fontId="19" fillId="25" borderId="62" xfId="0" applyNumberFormat="1" applyFont="1" applyFill="1" applyBorder="1" applyAlignment="1">
      <alignment/>
    </xf>
    <xf numFmtId="0" fontId="19" fillId="25" borderId="0" xfId="0" applyFont="1" applyFill="1" applyBorder="1" applyAlignment="1">
      <alignment horizontal="left"/>
    </xf>
    <xf numFmtId="0" fontId="51" fillId="25" borderId="28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7" fillId="25" borderId="48" xfId="0" applyFont="1" applyFill="1" applyBorder="1" applyAlignment="1">
      <alignment horizontal="right"/>
    </xf>
    <xf numFmtId="0" fontId="37" fillId="25" borderId="47" xfId="0" applyFont="1" applyFill="1" applyBorder="1" applyAlignment="1">
      <alignment/>
    </xf>
    <xf numFmtId="0" fontId="46" fillId="25" borderId="48" xfId="0" applyFont="1" applyFill="1" applyBorder="1" applyAlignment="1">
      <alignment/>
    </xf>
    <xf numFmtId="0" fontId="0" fillId="25" borderId="39" xfId="0" applyFont="1" applyFill="1" applyBorder="1" applyAlignment="1">
      <alignment/>
    </xf>
    <xf numFmtId="0" fontId="37" fillId="25" borderId="53" xfId="0" applyFont="1" applyFill="1" applyBorder="1" applyAlignment="1">
      <alignment/>
    </xf>
    <xf numFmtId="0" fontId="19" fillId="25" borderId="22" xfId="0" applyFont="1" applyFill="1" applyBorder="1" applyAlignment="1">
      <alignment/>
    </xf>
    <xf numFmtId="0" fontId="55" fillId="25" borderId="39" xfId="0" applyFont="1" applyFill="1" applyBorder="1" applyAlignment="1">
      <alignment horizontal="center"/>
    </xf>
    <xf numFmtId="0" fontId="37" fillId="25" borderId="12" xfId="0" applyFont="1" applyFill="1" applyBorder="1" applyAlignment="1">
      <alignment horizontal="left" wrapText="1"/>
    </xf>
    <xf numFmtId="0" fontId="37" fillId="25" borderId="71" xfId="0" applyFont="1" applyFill="1" applyBorder="1" applyAlignment="1">
      <alignment/>
    </xf>
    <xf numFmtId="179" fontId="51" fillId="25" borderId="48" xfId="60" applyFont="1" applyFill="1" applyBorder="1" applyAlignment="1">
      <alignment horizontal="center" vertical="top" wrapText="1"/>
    </xf>
    <xf numFmtId="0" fontId="19" fillId="25" borderId="65" xfId="0" applyFont="1" applyFill="1" applyBorder="1" applyAlignment="1">
      <alignment/>
    </xf>
    <xf numFmtId="0" fontId="19" fillId="25" borderId="58" xfId="0" applyFont="1" applyFill="1" applyBorder="1" applyAlignment="1">
      <alignment/>
    </xf>
    <xf numFmtId="0" fontId="37" fillId="25" borderId="40" xfId="0" applyFont="1" applyFill="1" applyBorder="1" applyAlignment="1">
      <alignment horizontal="center"/>
    </xf>
    <xf numFmtId="0" fontId="37" fillId="25" borderId="51" xfId="0" applyFont="1" applyFill="1" applyBorder="1" applyAlignment="1">
      <alignment horizontal="center"/>
    </xf>
    <xf numFmtId="0" fontId="0" fillId="25" borderId="40" xfId="0" applyFont="1" applyFill="1" applyBorder="1" applyAlignment="1">
      <alignment/>
    </xf>
    <xf numFmtId="0" fontId="19" fillId="25" borderId="54" xfId="0" applyFont="1" applyFill="1" applyBorder="1" applyAlignment="1">
      <alignment horizontal="right"/>
    </xf>
    <xf numFmtId="0" fontId="55" fillId="25" borderId="78" xfId="0" applyFont="1" applyFill="1" applyBorder="1" applyAlignment="1">
      <alignment horizontal="center"/>
    </xf>
    <xf numFmtId="2" fontId="51" fillId="25" borderId="63" xfId="0" applyNumberFormat="1" applyFont="1" applyFill="1" applyBorder="1" applyAlignment="1">
      <alignment/>
    </xf>
    <xf numFmtId="0" fontId="0" fillId="25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7" fillId="0" borderId="43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0" fillId="0" borderId="12" xfId="0" applyBorder="1" applyAlignment="1">
      <alignment/>
    </xf>
    <xf numFmtId="0" fontId="34" fillId="25" borderId="12" xfId="0" applyFont="1" applyFill="1" applyBorder="1" applyAlignment="1">
      <alignment/>
    </xf>
    <xf numFmtId="4" fontId="60" fillId="25" borderId="40" xfId="0" applyNumberFormat="1" applyFont="1" applyFill="1" applyBorder="1" applyAlignment="1">
      <alignment horizontal="left"/>
    </xf>
    <xf numFmtId="0" fontId="52" fillId="25" borderId="5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62" xfId="0" applyFont="1" applyBorder="1" applyAlignment="1">
      <alignment/>
    </xf>
    <xf numFmtId="2" fontId="13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22" xfId="0" applyFont="1" applyBorder="1" applyAlignment="1">
      <alignment/>
    </xf>
    <xf numFmtId="2" fontId="34" fillId="25" borderId="49" xfId="0" applyNumberFormat="1" applyFont="1" applyFill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2" fontId="13" fillId="25" borderId="20" xfId="0" applyNumberFormat="1" applyFont="1" applyFill="1" applyBorder="1" applyAlignment="1">
      <alignment horizontal="left" vertical="top" wrapText="1"/>
    </xf>
    <xf numFmtId="192" fontId="34" fillId="0" borderId="12" xfId="0" applyNumberFormat="1" applyFont="1" applyFill="1" applyBorder="1" applyAlignment="1">
      <alignment horizontal="center" vertical="top" wrapText="1"/>
    </xf>
    <xf numFmtId="2" fontId="34" fillId="0" borderId="24" xfId="0" applyNumberFormat="1" applyFont="1" applyBorder="1" applyAlignment="1">
      <alignment horizontal="center"/>
    </xf>
    <xf numFmtId="192" fontId="13" fillId="25" borderId="18" xfId="0" applyNumberFormat="1" applyFont="1" applyFill="1" applyBorder="1" applyAlignment="1">
      <alignment horizontal="center" vertical="top" wrapText="1"/>
    </xf>
    <xf numFmtId="192" fontId="34" fillId="0" borderId="36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192" fontId="51" fillId="0" borderId="10" xfId="0" applyNumberFormat="1" applyFont="1" applyFill="1" applyBorder="1" applyAlignment="1">
      <alignment horizontal="center" vertical="top" wrapText="1"/>
    </xf>
    <xf numFmtId="192" fontId="51" fillId="0" borderId="0" xfId="0" applyNumberFormat="1" applyFont="1" applyFill="1" applyBorder="1" applyAlignment="1">
      <alignment horizontal="center" vertical="top" wrapText="1"/>
    </xf>
    <xf numFmtId="43" fontId="51" fillId="0" borderId="0" xfId="0" applyNumberFormat="1" applyFont="1" applyFill="1" applyBorder="1" applyAlignment="1">
      <alignment vertical="top" wrapText="1"/>
    </xf>
    <xf numFmtId="0" fontId="37" fillId="25" borderId="70" xfId="0" applyFont="1" applyFill="1" applyBorder="1" applyAlignment="1">
      <alignment/>
    </xf>
    <xf numFmtId="179" fontId="37" fillId="25" borderId="10" xfId="0" applyNumberFormat="1" applyFont="1" applyFill="1" applyBorder="1" applyAlignment="1">
      <alignment/>
    </xf>
    <xf numFmtId="2" fontId="13" fillId="0" borderId="36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192" fontId="34" fillId="0" borderId="22" xfId="0" applyNumberFormat="1" applyFont="1" applyFill="1" applyBorder="1" applyAlignment="1">
      <alignment horizontal="center" vertical="top" wrapText="1"/>
    </xf>
    <xf numFmtId="0" fontId="35" fillId="25" borderId="27" xfId="0" applyFont="1" applyFill="1" applyBorder="1" applyAlignment="1">
      <alignment/>
    </xf>
    <xf numFmtId="0" fontId="35" fillId="0" borderId="41" xfId="0" applyFont="1" applyBorder="1" applyAlignment="1">
      <alignment/>
    </xf>
    <xf numFmtId="2" fontId="35" fillId="0" borderId="41" xfId="0" applyNumberFormat="1" applyFont="1" applyBorder="1" applyAlignment="1">
      <alignment/>
    </xf>
    <xf numFmtId="179" fontId="35" fillId="25" borderId="27" xfId="0" applyNumberFormat="1" applyFont="1" applyFill="1" applyBorder="1" applyAlignment="1">
      <alignment/>
    </xf>
    <xf numFmtId="2" fontId="19" fillId="25" borderId="48" xfId="0" applyNumberFormat="1" applyFont="1" applyFill="1" applyBorder="1" applyAlignment="1">
      <alignment/>
    </xf>
    <xf numFmtId="179" fontId="37" fillId="25" borderId="36" xfId="0" applyNumberFormat="1" applyFont="1" applyFill="1" applyBorder="1" applyAlignment="1">
      <alignment/>
    </xf>
    <xf numFmtId="0" fontId="35" fillId="25" borderId="41" xfId="0" applyFont="1" applyFill="1" applyBorder="1" applyAlignment="1">
      <alignment/>
    </xf>
    <xf numFmtId="2" fontId="35" fillId="25" borderId="41" xfId="0" applyNumberFormat="1" applyFont="1" applyFill="1" applyBorder="1" applyAlignment="1">
      <alignment/>
    </xf>
    <xf numFmtId="2" fontId="35" fillId="25" borderId="27" xfId="0" applyNumberFormat="1" applyFont="1" applyFill="1" applyBorder="1" applyAlignment="1">
      <alignment/>
    </xf>
    <xf numFmtId="0" fontId="31" fillId="25" borderId="54" xfId="0" applyFont="1" applyFill="1" applyBorder="1" applyAlignment="1">
      <alignment/>
    </xf>
    <xf numFmtId="0" fontId="51" fillId="25" borderId="64" xfId="0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52" fillId="25" borderId="24" xfId="0" applyFont="1" applyFill="1" applyBorder="1" applyAlignment="1">
      <alignment horizontal="center"/>
    </xf>
    <xf numFmtId="0" fontId="59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/>
    </xf>
    <xf numFmtId="179" fontId="0" fillId="0" borderId="10" xfId="0" applyNumberFormat="1" applyFont="1" applyBorder="1" applyAlignment="1">
      <alignment/>
    </xf>
    <xf numFmtId="0" fontId="7" fillId="0" borderId="56" xfId="0" applyFont="1" applyBorder="1" applyAlignment="1">
      <alignment vertical="top" wrapText="1"/>
    </xf>
    <xf numFmtId="0" fontId="35" fillId="25" borderId="50" xfId="0" applyFont="1" applyFill="1" applyBorder="1" applyAlignment="1">
      <alignment horizontal="center"/>
    </xf>
    <xf numFmtId="4" fontId="51" fillId="25" borderId="68" xfId="0" applyNumberFormat="1" applyFont="1" applyFill="1" applyBorder="1" applyAlignment="1">
      <alignment/>
    </xf>
    <xf numFmtId="0" fontId="31" fillId="25" borderId="76" xfId="0" applyFont="1" applyFill="1" applyBorder="1" applyAlignment="1">
      <alignment/>
    </xf>
    <xf numFmtId="2" fontId="34" fillId="25" borderId="75" xfId="0" applyNumberFormat="1" applyFont="1" applyFill="1" applyBorder="1" applyAlignment="1">
      <alignment/>
    </xf>
    <xf numFmtId="0" fontId="55" fillId="0" borderId="49" xfId="0" applyFont="1" applyFill="1" applyBorder="1" applyAlignment="1">
      <alignment horizontal="center"/>
    </xf>
    <xf numFmtId="0" fontId="51" fillId="25" borderId="52" xfId="0" applyFont="1" applyFill="1" applyBorder="1" applyAlignment="1">
      <alignment horizontal="center"/>
    </xf>
    <xf numFmtId="0" fontId="51" fillId="25" borderId="28" xfId="0" applyFont="1" applyFill="1" applyBorder="1" applyAlignment="1">
      <alignment horizontal="center"/>
    </xf>
    <xf numFmtId="0" fontId="19" fillId="25" borderId="52" xfId="0" applyFont="1" applyFill="1" applyBorder="1" applyAlignment="1">
      <alignment/>
    </xf>
    <xf numFmtId="0" fontId="37" fillId="25" borderId="43" xfId="0" applyFont="1" applyFill="1" applyBorder="1" applyAlignment="1">
      <alignment/>
    </xf>
    <xf numFmtId="0" fontId="51" fillId="25" borderId="51" xfId="0" applyFont="1" applyFill="1" applyBorder="1" applyAlignment="1">
      <alignment horizontal="center"/>
    </xf>
    <xf numFmtId="0" fontId="51" fillId="25" borderId="42" xfId="0" applyFont="1" applyFill="1" applyBorder="1" applyAlignment="1">
      <alignment horizontal="center"/>
    </xf>
    <xf numFmtId="0" fontId="37" fillId="25" borderId="43" xfId="0" applyFont="1" applyFill="1" applyBorder="1" applyAlignment="1">
      <alignment horizontal="center"/>
    </xf>
    <xf numFmtId="0" fontId="37" fillId="25" borderId="24" xfId="0" applyFont="1" applyFill="1" applyBorder="1" applyAlignment="1">
      <alignment horizontal="center"/>
    </xf>
    <xf numFmtId="0" fontId="37" fillId="25" borderId="35" xfId="0" applyFont="1" applyFill="1" applyBorder="1" applyAlignment="1">
      <alignment horizontal="center"/>
    </xf>
    <xf numFmtId="0" fontId="37" fillId="25" borderId="39" xfId="0" applyFont="1" applyFill="1" applyBorder="1" applyAlignment="1">
      <alignment horizontal="center"/>
    </xf>
    <xf numFmtId="0" fontId="37" fillId="0" borderId="48" xfId="0" applyFont="1" applyBorder="1" applyAlignment="1">
      <alignment horizontal="left" vertical="top" wrapText="1"/>
    </xf>
    <xf numFmtId="192" fontId="51" fillId="0" borderId="48" xfId="0" applyNumberFormat="1" applyFont="1" applyFill="1" applyBorder="1" applyAlignment="1">
      <alignment horizontal="center" vertical="top" wrapText="1"/>
    </xf>
    <xf numFmtId="43" fontId="51" fillId="0" borderId="48" xfId="0" applyNumberFormat="1" applyFont="1" applyFill="1" applyBorder="1" applyAlignment="1">
      <alignment vertical="top" wrapText="1"/>
    </xf>
    <xf numFmtId="0" fontId="13" fillId="0" borderId="50" xfId="0" applyFont="1" applyBorder="1" applyAlignment="1">
      <alignment horizontal="center" vertical="top" wrapText="1"/>
    </xf>
    <xf numFmtId="0" fontId="13" fillId="25" borderId="24" xfId="0" applyFont="1" applyFill="1" applyBorder="1" applyAlignment="1">
      <alignment horizontal="center" vertical="top" wrapText="1"/>
    </xf>
    <xf numFmtId="0" fontId="13" fillId="25" borderId="46" xfId="0" applyFont="1" applyFill="1" applyBorder="1" applyAlignment="1">
      <alignment horizontal="center" vertical="top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top" wrapText="1"/>
    </xf>
    <xf numFmtId="2" fontId="0" fillId="25" borderId="46" xfId="0" applyNumberFormat="1" applyFont="1" applyFill="1" applyBorder="1" applyAlignment="1">
      <alignment horizontal="center" vertical="top" wrapText="1"/>
    </xf>
    <xf numFmtId="2" fontId="13" fillId="25" borderId="35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1" fillId="25" borderId="24" xfId="0" applyFont="1" applyFill="1" applyBorder="1" applyAlignment="1">
      <alignment horizontal="center" vertical="center" wrapText="1"/>
    </xf>
    <xf numFmtId="0" fontId="51" fillId="25" borderId="46" xfId="0" applyFont="1" applyFill="1" applyBorder="1" applyAlignment="1">
      <alignment horizontal="center" vertical="center" wrapText="1"/>
    </xf>
    <xf numFmtId="2" fontId="34" fillId="25" borderId="24" xfId="0" applyNumberFormat="1" applyFont="1" applyFill="1" applyBorder="1" applyAlignment="1">
      <alignment horizontal="center" vertical="top" wrapText="1"/>
    </xf>
    <xf numFmtId="2" fontId="34" fillId="25" borderId="46" xfId="0" applyNumberFormat="1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13" fillId="0" borderId="47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2" fontId="34" fillId="25" borderId="35" xfId="0" applyNumberFormat="1" applyFont="1" applyFill="1" applyBorder="1" applyAlignment="1">
      <alignment horizontal="center" vertical="top" wrapText="1"/>
    </xf>
    <xf numFmtId="2" fontId="34" fillId="25" borderId="47" xfId="0" applyNumberFormat="1" applyFont="1" applyFill="1" applyBorder="1" applyAlignment="1">
      <alignment horizontal="center" vertical="top" wrapText="1"/>
    </xf>
    <xf numFmtId="192" fontId="34" fillId="25" borderId="24" xfId="0" applyNumberFormat="1" applyFont="1" applyFill="1" applyBorder="1" applyAlignment="1">
      <alignment horizontal="center" vertical="top" wrapText="1"/>
    </xf>
    <xf numFmtId="192" fontId="34" fillId="25" borderId="46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92" fontId="34" fillId="0" borderId="24" xfId="0" applyNumberFormat="1" applyFont="1" applyFill="1" applyBorder="1" applyAlignment="1">
      <alignment horizontal="center" vertical="top" wrapText="1"/>
    </xf>
    <xf numFmtId="192" fontId="34" fillId="0" borderId="46" xfId="0" applyNumberFormat="1" applyFont="1" applyFill="1" applyBorder="1" applyAlignment="1">
      <alignment horizontal="center" vertical="top" wrapText="1"/>
    </xf>
    <xf numFmtId="2" fontId="51" fillId="25" borderId="24" xfId="0" applyNumberFormat="1" applyFont="1" applyFill="1" applyBorder="1" applyAlignment="1">
      <alignment horizontal="center" vertical="center" wrapText="1"/>
    </xf>
    <xf numFmtId="2" fontId="51" fillId="25" borderId="46" xfId="0" applyNumberFormat="1" applyFont="1" applyFill="1" applyBorder="1" applyAlignment="1">
      <alignment horizontal="center" vertical="center" wrapText="1"/>
    </xf>
    <xf numFmtId="2" fontId="51" fillId="25" borderId="24" xfId="0" applyNumberFormat="1" applyFont="1" applyFill="1" applyBorder="1" applyAlignment="1">
      <alignment horizontal="center" vertical="top" wrapText="1"/>
    </xf>
    <xf numFmtId="2" fontId="51" fillId="25" borderId="46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9" fillId="0" borderId="23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3" fillId="0" borderId="6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37" xfId="0" applyFont="1" applyBorder="1" applyAlignment="1">
      <alignment horizontal="left" vertical="top" wrapText="1"/>
    </xf>
    <xf numFmtId="0" fontId="37" fillId="0" borderId="52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left" vertical="top" wrapText="1"/>
    </xf>
    <xf numFmtId="0" fontId="37" fillId="0" borderId="51" xfId="0" applyFont="1" applyBorder="1" applyAlignment="1">
      <alignment horizontal="left" vertical="top" wrapText="1"/>
    </xf>
    <xf numFmtId="0" fontId="37" fillId="0" borderId="54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51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34" fillId="25" borderId="24" xfId="0" applyFont="1" applyFill="1" applyBorder="1" applyAlignment="1">
      <alignment horizontal="center" vertical="top" wrapText="1"/>
    </xf>
    <xf numFmtId="0" fontId="34" fillId="25" borderId="46" xfId="0" applyFont="1" applyFill="1" applyBorder="1" applyAlignment="1">
      <alignment horizontal="center" vertical="top" wrapText="1"/>
    </xf>
    <xf numFmtId="2" fontId="13" fillId="25" borderId="47" xfId="0" applyNumberFormat="1" applyFont="1" applyFill="1" applyBorder="1" applyAlignment="1">
      <alignment horizontal="center" vertical="top" wrapText="1"/>
    </xf>
    <xf numFmtId="192" fontId="13" fillId="25" borderId="24" xfId="0" applyNumberFormat="1" applyFont="1" applyFill="1" applyBorder="1" applyAlignment="1">
      <alignment horizontal="center" vertical="top" wrapText="1"/>
    </xf>
    <xf numFmtId="192" fontId="13" fillId="25" borderId="46" xfId="0" applyNumberFormat="1" applyFont="1" applyFill="1" applyBorder="1" applyAlignment="1">
      <alignment horizontal="center" vertical="top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46" xfId="0" applyFont="1" applyFill="1" applyBorder="1" applyAlignment="1">
      <alignment horizontal="center" vertical="center" wrapText="1"/>
    </xf>
    <xf numFmtId="2" fontId="13" fillId="25" borderId="24" xfId="0" applyNumberFormat="1" applyFont="1" applyFill="1" applyBorder="1" applyAlignment="1">
      <alignment horizontal="center" vertical="top" wrapText="1"/>
    </xf>
    <xf numFmtId="2" fontId="13" fillId="25" borderId="46" xfId="0" applyNumberFormat="1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2" fontId="13" fillId="0" borderId="24" xfId="0" applyNumberFormat="1" applyFont="1" applyBorder="1" applyAlignment="1">
      <alignment horizontal="center" vertical="top" wrapText="1"/>
    </xf>
    <xf numFmtId="2" fontId="13" fillId="0" borderId="4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4" fillId="0" borderId="24" xfId="0" applyFont="1" applyBorder="1" applyAlignment="1">
      <alignment horizontal="center" vertical="top" wrapText="1"/>
    </xf>
    <xf numFmtId="0" fontId="34" fillId="0" borderId="46" xfId="0" applyFont="1" applyBorder="1" applyAlignment="1">
      <alignment horizontal="center" vertical="top" wrapText="1"/>
    </xf>
    <xf numFmtId="43" fontId="8" fillId="0" borderId="0" xfId="0" applyNumberFormat="1" applyFont="1" applyAlignment="1">
      <alignment horizontal="center"/>
    </xf>
    <xf numFmtId="0" fontId="37" fillId="0" borderId="48" xfId="0" applyFont="1" applyBorder="1" applyAlignment="1">
      <alignment horizontal="left" vertical="top" wrapText="1"/>
    </xf>
    <xf numFmtId="0" fontId="0" fillId="25" borderId="24" xfId="0" applyFont="1" applyFill="1" applyBorder="1" applyAlignment="1">
      <alignment horizontal="center" vertical="top" wrapText="1"/>
    </xf>
    <xf numFmtId="0" fontId="0" fillId="25" borderId="46" xfId="0" applyFont="1" applyFill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2" fontId="34" fillId="25" borderId="0" xfId="0" applyNumberFormat="1" applyFont="1" applyFill="1" applyBorder="1" applyAlignment="1">
      <alignment horizontal="center" vertical="top" wrapText="1"/>
    </xf>
    <xf numFmtId="2" fontId="51" fillId="25" borderId="0" xfId="0" applyNumberFormat="1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2" fontId="51" fillId="25" borderId="0" xfId="0" applyNumberFormat="1" applyFont="1" applyFill="1" applyBorder="1" applyAlignment="1">
      <alignment horizontal="center" vertical="center" wrapText="1"/>
    </xf>
    <xf numFmtId="192" fontId="13" fillId="0" borderId="24" xfId="0" applyNumberFormat="1" applyFont="1" applyFill="1" applyBorder="1" applyAlignment="1">
      <alignment horizontal="center" vertical="top" wrapText="1"/>
    </xf>
    <xf numFmtId="192" fontId="13" fillId="0" borderId="46" xfId="0" applyNumberFormat="1" applyFont="1" applyFill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192" fontId="60" fillId="0" borderId="35" xfId="0" applyNumberFormat="1" applyFont="1" applyBorder="1" applyAlignment="1">
      <alignment horizontal="center"/>
    </xf>
    <xf numFmtId="192" fontId="60" fillId="0" borderId="47" xfId="0" applyNumberFormat="1" applyFont="1" applyBorder="1" applyAlignment="1">
      <alignment horizontal="center"/>
    </xf>
    <xf numFmtId="192" fontId="34" fillId="0" borderId="37" xfId="0" applyNumberFormat="1" applyFont="1" applyBorder="1" applyAlignment="1">
      <alignment horizontal="center"/>
    </xf>
    <xf numFmtId="192" fontId="34" fillId="0" borderId="50" xfId="0" applyNumberFormat="1" applyFont="1" applyBorder="1" applyAlignment="1">
      <alignment horizontal="center"/>
    </xf>
    <xf numFmtId="192" fontId="51" fillId="0" borderId="24" xfId="0" applyNumberFormat="1" applyFont="1" applyBorder="1" applyAlignment="1">
      <alignment horizontal="center"/>
    </xf>
    <xf numFmtId="192" fontId="51" fillId="0" borderId="46" xfId="0" applyNumberFormat="1" applyFont="1" applyBorder="1" applyAlignment="1">
      <alignment horizontal="center"/>
    </xf>
    <xf numFmtId="192" fontId="34" fillId="0" borderId="35" xfId="0" applyNumberFormat="1" applyFont="1" applyBorder="1" applyAlignment="1">
      <alignment horizontal="center"/>
    </xf>
    <xf numFmtId="192" fontId="34" fillId="0" borderId="47" xfId="0" applyNumberFormat="1" applyFont="1" applyBorder="1" applyAlignment="1">
      <alignment horizontal="center"/>
    </xf>
    <xf numFmtId="192" fontId="34" fillId="0" borderId="24" xfId="0" applyNumberFormat="1" applyFont="1" applyBorder="1" applyAlignment="1">
      <alignment horizontal="center"/>
    </xf>
    <xf numFmtId="192" fontId="34" fillId="0" borderId="46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66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0" fillId="0" borderId="6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34" fillId="25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59" xfId="0" applyBorder="1" applyAlignment="1">
      <alignment horizontal="center"/>
    </xf>
    <xf numFmtId="192" fontId="51" fillId="0" borderId="24" xfId="0" applyNumberFormat="1" applyFont="1" applyFill="1" applyBorder="1" applyAlignment="1">
      <alignment horizontal="center" vertical="top" wrapText="1"/>
    </xf>
    <xf numFmtId="192" fontId="51" fillId="0" borderId="46" xfId="0" applyNumberFormat="1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styles" Target="styles.xml" /><Relationship Id="rId128" Type="http://schemas.openxmlformats.org/officeDocument/2006/relationships/sharedStrings" Target="sharedStrings.xml" /><Relationship Id="rId129" Type="http://schemas.openxmlformats.org/officeDocument/2006/relationships/externalLink" Target="externalLinks/externalLink1.xml" /><Relationship Id="rId1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Downloads\&#1050;&#1086;&#1087;&#1080;&#1103;%20&#1055;&#1086;&#1087;&#1086;&#1074;&#1080;&#1095;&#1072;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мур. 1"/>
      <sheetName val="Амур. 4"/>
      <sheetName val="Амур. 6"/>
      <sheetName val="Амур. 29"/>
      <sheetName val="Амур. 65"/>
      <sheetName val="Дзерж. 22"/>
      <sheetName val="Дзер. 38"/>
      <sheetName val="Дзер. 40"/>
      <sheetName val="Кур, 34"/>
      <sheetName val="Кур. 43 а"/>
      <sheetName val="Кур. 52"/>
      <sheetName val="Кур. 59"/>
      <sheetName val="Ком.пр. 74"/>
      <sheetName val="К.Мар. 25"/>
      <sheetName val="К.Мар. 27"/>
      <sheetName val="К.Мар. 29"/>
      <sheetName val="К.Мар. 31"/>
      <sheetName val="Лен. 125"/>
      <sheetName val="Лен. 127"/>
      <sheetName val="Лен. 171"/>
      <sheetName val="Лен. 182"/>
      <sheetName val="Мира, 88"/>
      <sheetName val="Нев.. 53"/>
      <sheetName val="Нев. 58"/>
      <sheetName val="Поп. 98"/>
      <sheetName val="Поп,102"/>
      <sheetName val="Поп, 104"/>
      <sheetName val="Поп,106"/>
      <sheetName val="Поп,108"/>
      <sheetName val="Поп,110"/>
      <sheetName val="Пуш. 57"/>
      <sheetName val="Чех, 1"/>
      <sheetName val="Чех. 7"/>
      <sheetName val="Чех. 31"/>
      <sheetName val="Чех. 43"/>
      <sheetName val="Чех. 43 а"/>
      <sheetName val="Чех. 66"/>
      <sheetName val="Чех. 66 а"/>
      <sheetName val="Чех. 68"/>
      <sheetName val="Чех. 68 а"/>
      <sheetName val="Чех. 70"/>
      <sheetName val="Чех. 72"/>
      <sheetName val="Чех. 72 а"/>
      <sheetName val="Сах. 29"/>
      <sheetName val="Сах. 31"/>
      <sheetName val="Сах. 33"/>
      <sheetName val="Сах. 39"/>
      <sheetName val="Сах. 41"/>
      <sheetName val="Сах. 45 а"/>
      <sheetName val="Сах.49"/>
      <sheetName val="Сах. 51"/>
      <sheetName val="Сах. 55"/>
      <sheetName val="Хаб. 32 а"/>
      <sheetName val="Хаб. 42"/>
      <sheetName val="Хаб. 44"/>
      <sheetName val="Хаб. 58"/>
      <sheetName val="Хаб. 60"/>
    </sheetNames>
    <sheetDataSet>
      <sheetData sheetId="17">
        <row r="2">
          <cell r="L2">
            <v>1256.3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0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2" s="91" customFormat="1" ht="19.5">
      <c r="A2" s="1348" t="s">
        <v>687</v>
      </c>
      <c r="B2" s="1348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2" s="139" customFormat="1" ht="14.25">
      <c r="A5" s="1350" t="s">
        <v>877</v>
      </c>
      <c r="B5" s="1350"/>
    </row>
    <row r="6" spans="1:2" s="123" customFormat="1" ht="11.25">
      <c r="A6" s="124"/>
      <c r="B6" s="124"/>
    </row>
    <row r="7" spans="1:4" ht="15">
      <c r="A7" s="1343" t="s">
        <v>935</v>
      </c>
      <c r="B7" s="1343"/>
      <c r="C7" s="139"/>
      <c r="D7" s="139"/>
    </row>
    <row r="8" s="123" customFormat="1" ht="12" thickBot="1">
      <c r="A8" s="125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469.7+110987.92</f>
        <v>111457.62</v>
      </c>
      <c r="D11" s="136">
        <v>23258.11</v>
      </c>
    </row>
    <row r="12" spans="1:4" ht="15.75" thickBot="1">
      <c r="A12" s="1341" t="s">
        <v>646</v>
      </c>
      <c r="B12" s="1342"/>
      <c r="C12" s="137">
        <f>2259+994095.5</f>
        <v>996354.5</v>
      </c>
      <c r="D12" s="136">
        <v>50633.22</v>
      </c>
    </row>
    <row r="13" spans="1:4" ht="15.75" thickBot="1">
      <c r="A13" s="1341" t="s">
        <v>647</v>
      </c>
      <c r="B13" s="1342"/>
      <c r="C13" s="135">
        <f>2748.78+979049.63</f>
        <v>981798.41</v>
      </c>
      <c r="D13" s="136">
        <v>71781.38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14827.56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126013.71000000008</v>
      </c>
      <c r="D17" s="136">
        <f>D11+D12-D13</f>
        <v>2109.949999999997</v>
      </c>
    </row>
    <row r="18" spans="1:4" ht="15.75" thickBot="1">
      <c r="A18" s="1341" t="s">
        <v>806</v>
      </c>
      <c r="B18" s="1342"/>
      <c r="C18" s="170">
        <f>D24+D48</f>
        <v>815737.49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D25+D26+D27+D28+D29+D30</f>
        <v>571800.3</v>
      </c>
    </row>
    <row r="25" spans="1:4" ht="26.25" thickBot="1">
      <c r="A25" s="166" t="s">
        <v>662</v>
      </c>
      <c r="B25" s="64" t="s">
        <v>652</v>
      </c>
      <c r="C25" s="45"/>
      <c r="D25" s="171">
        <v>221044.77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133905.84</v>
      </c>
    </row>
    <row r="27" spans="1:4" ht="25.5" thickBot="1">
      <c r="A27" s="133" t="s">
        <v>658</v>
      </c>
      <c r="B27" s="168" t="s">
        <v>657</v>
      </c>
      <c r="C27" s="145"/>
      <c r="D27" s="171">
        <v>132302.54</v>
      </c>
    </row>
    <row r="28" spans="1:4" ht="15.75" thickBot="1">
      <c r="A28" s="133" t="s">
        <v>799</v>
      </c>
      <c r="B28" s="181" t="s">
        <v>661</v>
      </c>
      <c r="C28" s="182"/>
      <c r="D28" s="183">
        <v>51787.23</v>
      </c>
    </row>
    <row r="29" spans="1:4" ht="15.75" thickBot="1">
      <c r="A29" s="133" t="s">
        <v>879</v>
      </c>
      <c r="B29" s="181" t="s">
        <v>661</v>
      </c>
      <c r="C29" s="182"/>
      <c r="D29" s="183">
        <f>13.03+1154.21</f>
        <v>1167.24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31592.68</v>
      </c>
    </row>
    <row r="31" spans="1:4" ht="15.75" thickBot="1">
      <c r="A31" s="148" t="s">
        <v>760</v>
      </c>
      <c r="B31" s="149"/>
      <c r="C31" s="139"/>
      <c r="D31" s="194">
        <f>D33+D34+D35+D36+D38+D39+D40+D41+D43+D44+D45+D46</f>
        <v>243937.18999999997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 hidden="1">
      <c r="A33" s="156" t="s">
        <v>816</v>
      </c>
      <c r="B33" s="115" t="s">
        <v>817</v>
      </c>
      <c r="C33" s="153">
        <v>0.66</v>
      </c>
      <c r="D33" s="177">
        <f>703.71-703.71</f>
        <v>0</v>
      </c>
    </row>
    <row r="34" spans="1:4" ht="14.25">
      <c r="A34" s="188" t="s">
        <v>928</v>
      </c>
      <c r="B34" s="74" t="s">
        <v>661</v>
      </c>
      <c r="C34" s="153"/>
      <c r="D34" s="177">
        <f>7288.13+122696.37+1345.09+703.71</f>
        <v>132033.3</v>
      </c>
    </row>
    <row r="35" spans="1:4" ht="14.25" hidden="1">
      <c r="A35" s="188" t="s">
        <v>930</v>
      </c>
      <c r="B35" s="74" t="s">
        <v>661</v>
      </c>
      <c r="C35" s="153">
        <v>1</v>
      </c>
      <c r="D35" s="177">
        <f>1345.09-1345.09</f>
        <v>0</v>
      </c>
    </row>
    <row r="36" spans="1:4" ht="14.25">
      <c r="A36" s="188" t="s">
        <v>933</v>
      </c>
      <c r="B36" s="74" t="s">
        <v>661</v>
      </c>
      <c r="C36" s="153"/>
      <c r="D36" s="177">
        <v>15291.44</v>
      </c>
    </row>
    <row r="37" spans="1:4" ht="14.25">
      <c r="A37" s="151" t="s">
        <v>676</v>
      </c>
      <c r="B37" s="116"/>
      <c r="C37" s="153"/>
      <c r="D37" s="177"/>
    </row>
    <row r="38" spans="1:4" ht="14.25">
      <c r="A38" s="157" t="s">
        <v>815</v>
      </c>
      <c r="B38" s="74" t="s">
        <v>661</v>
      </c>
      <c r="C38" s="153"/>
      <c r="D38" s="178">
        <f>4925.66</f>
        <v>4925.66</v>
      </c>
    </row>
    <row r="39" spans="1:4" ht="14.25">
      <c r="A39" s="132" t="s">
        <v>883</v>
      </c>
      <c r="B39" s="74" t="s">
        <v>661</v>
      </c>
      <c r="C39" s="153"/>
      <c r="D39" s="179">
        <f>13125.37</f>
        <v>13125.37</v>
      </c>
    </row>
    <row r="40" spans="1:4" ht="14.25">
      <c r="A40" s="157" t="s">
        <v>880</v>
      </c>
      <c r="B40" s="74" t="s">
        <v>661</v>
      </c>
      <c r="C40" s="153"/>
      <c r="D40" s="179">
        <f>21433.63</f>
        <v>21433.63</v>
      </c>
    </row>
    <row r="41" spans="1:4" ht="14.25">
      <c r="A41" s="157" t="s">
        <v>925</v>
      </c>
      <c r="B41" s="74" t="s">
        <v>661</v>
      </c>
      <c r="C41" s="153"/>
      <c r="D41" s="180">
        <f>38229.45</f>
        <v>38229.45</v>
      </c>
    </row>
    <row r="42" spans="1:4" ht="15">
      <c r="A42" s="151" t="s">
        <v>682</v>
      </c>
      <c r="B42" s="118"/>
      <c r="C42" s="153"/>
      <c r="D42" s="191"/>
    </row>
    <row r="43" spans="1:4" ht="14.25">
      <c r="A43" s="159" t="s">
        <v>884</v>
      </c>
      <c r="B43" s="74" t="s">
        <v>661</v>
      </c>
      <c r="C43" s="153"/>
      <c r="D43" s="192">
        <v>2372.98</v>
      </c>
    </row>
    <row r="44" spans="1:4" ht="14.25" hidden="1">
      <c r="A44" s="159" t="s">
        <v>886</v>
      </c>
      <c r="B44" s="74" t="s">
        <v>661</v>
      </c>
      <c r="C44" s="153"/>
      <c r="D44" s="192">
        <f>874.87-874.87</f>
        <v>0</v>
      </c>
    </row>
    <row r="45" spans="1:4" ht="14.25">
      <c r="A45" s="159" t="s">
        <v>888</v>
      </c>
      <c r="B45" s="74" t="s">
        <v>661</v>
      </c>
      <c r="C45" s="153"/>
      <c r="D45" s="192">
        <f>2902.1+487.75+4046.38+1453.39+4660.47+874.87</f>
        <v>14424.960000000001</v>
      </c>
    </row>
    <row r="46" spans="1:4" ht="14.25">
      <c r="A46" s="159" t="s">
        <v>929</v>
      </c>
      <c r="B46" s="74" t="s">
        <v>661</v>
      </c>
      <c r="C46" s="152"/>
      <c r="D46" s="192">
        <v>2100.4</v>
      </c>
    </row>
    <row r="47" spans="1:4" ht="14.25" hidden="1">
      <c r="A47" s="157"/>
      <c r="B47" s="153"/>
      <c r="C47" s="152"/>
      <c r="D47" s="160"/>
    </row>
    <row r="48" spans="1:4" ht="15" hidden="1">
      <c r="A48" s="162" t="s">
        <v>821</v>
      </c>
      <c r="B48" s="163"/>
      <c r="C48" s="164"/>
      <c r="D48" s="165">
        <f>SUM(D33:D47)</f>
        <v>243937.18999999997</v>
      </c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4" ht="15">
      <c r="A52" s="71"/>
      <c r="B52" s="11"/>
      <c r="C52" s="11"/>
      <c r="D52" s="11"/>
    </row>
    <row r="53" spans="1:3" ht="15.75">
      <c r="A53" s="187" t="s">
        <v>921</v>
      </c>
      <c r="B53" s="187"/>
      <c r="C53" s="187" t="s">
        <v>889</v>
      </c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60" ht="15.75">
      <c r="A60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4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939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386.54+120712.25</f>
        <v>121098.79</v>
      </c>
      <c r="D11" s="136">
        <v>18439.31</v>
      </c>
    </row>
    <row r="12" spans="1:4" ht="15.75" thickBot="1">
      <c r="A12" s="1341" t="s">
        <v>646</v>
      </c>
      <c r="B12" s="1342"/>
      <c r="C12" s="137">
        <f>3042.12+989045.17</f>
        <v>992087.29</v>
      </c>
      <c r="D12" s="136">
        <v>48866.12</v>
      </c>
    </row>
    <row r="13" spans="1:4" ht="15.75" thickBot="1">
      <c r="A13" s="1341" t="s">
        <v>647</v>
      </c>
      <c r="B13" s="1342"/>
      <c r="C13" s="135">
        <f>3418.62+989612.48</f>
        <v>993031.1</v>
      </c>
      <c r="D13" s="136">
        <v>66527.6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23874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120154.9800000001</v>
      </c>
      <c r="D17" s="136">
        <f>D11+D12-D13</f>
        <v>777.8300000000017</v>
      </c>
    </row>
    <row r="18" spans="1:4" ht="15.75" thickBot="1">
      <c r="A18" s="1341" t="s">
        <v>806</v>
      </c>
      <c r="B18" s="1342"/>
      <c r="C18" s="170">
        <f>D24+D47</f>
        <v>954763.6599999999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D25+D26+D27+D28+D30+D29</f>
        <v>672227.1399999999</v>
      </c>
    </row>
    <row r="25" spans="1:4" ht="26.25" thickBot="1">
      <c r="A25" s="166" t="s">
        <v>662</v>
      </c>
      <c r="B25" s="64" t="s">
        <v>652</v>
      </c>
      <c r="C25" s="45"/>
      <c r="D25" s="171">
        <v>352412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155075.36</v>
      </c>
    </row>
    <row r="27" spans="1:4" ht="25.5" thickBot="1">
      <c r="A27" s="133" t="s">
        <v>658</v>
      </c>
      <c r="B27" s="168" t="s">
        <v>657</v>
      </c>
      <c r="C27" s="145"/>
      <c r="D27" s="171">
        <v>126909.77</v>
      </c>
    </row>
    <row r="28" spans="1:4" ht="15.75" thickBot="1">
      <c r="A28" s="133" t="s">
        <v>879</v>
      </c>
      <c r="B28" s="181" t="s">
        <v>661</v>
      </c>
      <c r="C28" s="182"/>
      <c r="D28" s="183">
        <v>1344.83</v>
      </c>
    </row>
    <row r="29" spans="1:4" ht="15.75" thickBot="1">
      <c r="A29" s="189" t="s">
        <v>931</v>
      </c>
      <c r="B29" s="181" t="s">
        <v>661</v>
      </c>
      <c r="C29" s="182"/>
      <c r="D29" s="183">
        <v>5077.46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31407.72</v>
      </c>
    </row>
    <row r="31" spans="1:4" ht="15.75" thickBot="1">
      <c r="A31" s="148" t="s">
        <v>760</v>
      </c>
      <c r="B31" s="149"/>
      <c r="C31" s="139"/>
      <c r="D31" s="194">
        <f>D33+D34+D35+D37+D38+D39+D40+D42+D43+D44+D45</f>
        <v>282536.51999999996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v>105543.16</v>
      </c>
    </row>
    <row r="34" spans="1:4" ht="14.25">
      <c r="A34" s="188" t="s">
        <v>928</v>
      </c>
      <c r="B34" s="74" t="s">
        <v>661</v>
      </c>
      <c r="C34" s="153"/>
      <c r="D34" s="177">
        <f>3669.07</f>
        <v>3669.07</v>
      </c>
    </row>
    <row r="35" spans="1:4" ht="14.25">
      <c r="A35" s="188" t="s">
        <v>930</v>
      </c>
      <c r="B35" s="74" t="s">
        <v>661</v>
      </c>
      <c r="C35" s="153"/>
      <c r="D35" s="177">
        <v>3485.12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v>6972.06</v>
      </c>
    </row>
    <row r="38" spans="1:4" ht="14.25">
      <c r="A38" s="132" t="s">
        <v>883</v>
      </c>
      <c r="B38" s="74" t="s">
        <v>661</v>
      </c>
      <c r="C38" s="153"/>
      <c r="D38" s="179">
        <f>98107.03</f>
        <v>98107.03</v>
      </c>
    </row>
    <row r="39" spans="1:4" ht="14.25">
      <c r="A39" s="157" t="s">
        <v>880</v>
      </c>
      <c r="B39" s="74" t="s">
        <v>661</v>
      </c>
      <c r="C39" s="153"/>
      <c r="D39" s="179">
        <v>10870.28</v>
      </c>
    </row>
    <row r="40" spans="1:4" ht="14.25">
      <c r="A40" s="157" t="s">
        <v>925</v>
      </c>
      <c r="B40" s="74" t="s">
        <v>661</v>
      </c>
      <c r="C40" s="153"/>
      <c r="D40" s="180">
        <f>25919.66+643.74</f>
        <v>26563.4</v>
      </c>
    </row>
    <row r="41" spans="1:4" ht="15">
      <c r="A41" s="151" t="s">
        <v>682</v>
      </c>
      <c r="B41" s="118"/>
      <c r="C41" s="153"/>
      <c r="D41" s="191"/>
    </row>
    <row r="42" spans="1:4" ht="14.25">
      <c r="A42" s="159" t="s">
        <v>884</v>
      </c>
      <c r="B42" s="74" t="s">
        <v>661</v>
      </c>
      <c r="C42" s="153"/>
      <c r="D42" s="192">
        <v>13550.55</v>
      </c>
    </row>
    <row r="43" spans="1:4" ht="14.25">
      <c r="A43" s="159" t="s">
        <v>886</v>
      </c>
      <c r="B43" s="74" t="s">
        <v>661</v>
      </c>
      <c r="C43" s="153"/>
      <c r="D43" s="192">
        <v>6472.1</v>
      </c>
    </row>
    <row r="44" spans="1:4" ht="14.25">
      <c r="A44" s="159" t="s">
        <v>888</v>
      </c>
      <c r="B44" s="74" t="s">
        <v>661</v>
      </c>
      <c r="C44" s="153"/>
      <c r="D44" s="192">
        <f>452.46+460.19+1892.16+562.43+1848.41</f>
        <v>5215.65</v>
      </c>
    </row>
    <row r="45" spans="1:4" ht="14.25">
      <c r="A45" s="159" t="s">
        <v>929</v>
      </c>
      <c r="B45" s="74" t="s">
        <v>661</v>
      </c>
      <c r="C45" s="152"/>
      <c r="D45" s="192">
        <v>2088.1</v>
      </c>
    </row>
    <row r="46" spans="1:4" ht="14.25" hidden="1">
      <c r="A46" s="157"/>
      <c r="B46" s="153"/>
      <c r="C46" s="152"/>
      <c r="D46" s="160"/>
    </row>
    <row r="47" spans="1:4" ht="15" hidden="1">
      <c r="A47" s="162" t="s">
        <v>821</v>
      </c>
      <c r="B47" s="163"/>
      <c r="C47" s="164"/>
      <c r="D47" s="165">
        <f>SUM(D33:D46)</f>
        <v>282536.51999999996</v>
      </c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3" ht="15.75">
      <c r="A51" s="187" t="s">
        <v>921</v>
      </c>
      <c r="B51" s="187"/>
      <c r="C51" s="187" t="s">
        <v>889</v>
      </c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8" ht="15.75">
      <c r="A58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8">
      <selection activeCell="A14" sqref="A14:IV14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2.14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862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41292.32+520.45</f>
        <v>41812.77</v>
      </c>
      <c r="E11" s="25">
        <v>8342.53</v>
      </c>
    </row>
    <row r="12" spans="2:5" ht="16.5" thickBot="1">
      <c r="B12" s="1398" t="s">
        <v>646</v>
      </c>
      <c r="C12" s="1399"/>
      <c r="D12" s="89">
        <f>584807.59+2696.32</f>
        <v>587503.9099999999</v>
      </c>
      <c r="E12" s="5">
        <v>27704.97</v>
      </c>
    </row>
    <row r="13" spans="2:5" ht="16.5" thickBot="1">
      <c r="B13" s="1398" t="s">
        <v>647</v>
      </c>
      <c r="C13" s="1399"/>
      <c r="D13" s="5">
        <f>550706+3192.03</f>
        <v>553898.03</v>
      </c>
      <c r="E13" s="5">
        <v>35998.31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98" t="s">
        <v>648</v>
      </c>
      <c r="C15" s="1399"/>
      <c r="D15" s="5">
        <f>D11+D12-D13</f>
        <v>75418.6499999999</v>
      </c>
      <c r="E15" s="5">
        <f>E11+E12-E13</f>
        <v>49.19000000000233</v>
      </c>
    </row>
    <row r="16" spans="2:5" ht="16.5" thickBot="1">
      <c r="B16" s="1398" t="s">
        <v>806</v>
      </c>
      <c r="C16" s="1399"/>
      <c r="D16" s="75">
        <f>E22+E44</f>
        <v>674881.65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32.25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E23+E29+E31+E32+E42</f>
        <v>375592.5</v>
      </c>
    </row>
    <row r="23" spans="1:5" ht="32.25" thickBot="1">
      <c r="A23" s="11"/>
      <c r="B23" s="67" t="s">
        <v>662</v>
      </c>
      <c r="C23" s="64" t="s">
        <v>652</v>
      </c>
      <c r="D23" s="43"/>
      <c r="E23" s="230">
        <v>166153.62</v>
      </c>
    </row>
    <row r="24" spans="2:5" ht="32.25" hidden="1" thickBot="1">
      <c r="B24" s="67" t="s">
        <v>686</v>
      </c>
      <c r="C24" s="65" t="s">
        <v>661</v>
      </c>
      <c r="D24" s="44"/>
      <c r="E24" s="174"/>
    </row>
    <row r="25" spans="2:5" ht="16.5" hidden="1" thickBot="1">
      <c r="B25" s="67" t="s">
        <v>765</v>
      </c>
      <c r="C25" s="65" t="s">
        <v>661</v>
      </c>
      <c r="D25" s="44"/>
      <c r="E25" s="174"/>
    </row>
    <row r="26" spans="2:5" ht="39.75" hidden="1" thickBot="1">
      <c r="B26" s="67" t="s">
        <v>655</v>
      </c>
      <c r="C26" s="64" t="s">
        <v>653</v>
      </c>
      <c r="D26" s="45"/>
      <c r="E26" s="237"/>
    </row>
    <row r="27" spans="2:5" ht="48" hidden="1" thickBot="1">
      <c r="B27" s="67" t="s">
        <v>796</v>
      </c>
      <c r="C27" s="65" t="s">
        <v>661</v>
      </c>
      <c r="D27" s="44"/>
      <c r="E27" s="174"/>
    </row>
    <row r="28" spans="2:5" ht="48" hidden="1" thickBot="1">
      <c r="B28" s="67" t="s">
        <v>797</v>
      </c>
      <c r="C28" s="65" t="s">
        <v>661</v>
      </c>
      <c r="D28" s="44"/>
      <c r="E28" s="174"/>
    </row>
    <row r="29" spans="2:5" ht="16.5" thickBot="1">
      <c r="B29" s="67" t="s">
        <v>654</v>
      </c>
      <c r="C29" s="48" t="s">
        <v>656</v>
      </c>
      <c r="D29" s="43" t="s">
        <v>801</v>
      </c>
      <c r="E29" s="230">
        <v>86203.21</v>
      </c>
    </row>
    <row r="30" spans="2:5" ht="32.25" hidden="1" thickBot="1">
      <c r="B30" s="67" t="s">
        <v>798</v>
      </c>
      <c r="C30" s="65" t="s">
        <v>661</v>
      </c>
      <c r="D30" s="47" t="s">
        <v>822</v>
      </c>
      <c r="E30" s="174"/>
    </row>
    <row r="31" spans="2:5" ht="27" thickBot="1">
      <c r="B31" s="67" t="s">
        <v>658</v>
      </c>
      <c r="C31" s="64" t="s">
        <v>657</v>
      </c>
      <c r="D31" s="43"/>
      <c r="E31" s="230">
        <v>91723.74</v>
      </c>
    </row>
    <row r="32" spans="2:5" ht="16.5" thickBot="1">
      <c r="B32" s="133" t="s">
        <v>799</v>
      </c>
      <c r="C32" s="64" t="s">
        <v>661</v>
      </c>
      <c r="D32" s="43"/>
      <c r="E32" s="230">
        <v>6390</v>
      </c>
    </row>
    <row r="33" spans="2:5" ht="16.5" hidden="1" thickBot="1">
      <c r="B33" s="68" t="s">
        <v>758</v>
      </c>
      <c r="C33" s="64" t="s">
        <v>665</v>
      </c>
      <c r="D33" s="43"/>
      <c r="E33" s="238"/>
    </row>
    <row r="34" spans="2:5" ht="32.25" hidden="1" thickBot="1">
      <c r="B34" s="67" t="s">
        <v>664</v>
      </c>
      <c r="C34" s="65" t="s">
        <v>661</v>
      </c>
      <c r="D34" s="44"/>
      <c r="E34" s="174"/>
    </row>
    <row r="35" spans="2:5" ht="32.25" hidden="1" thickBot="1">
      <c r="B35" s="67" t="s">
        <v>671</v>
      </c>
      <c r="C35" s="65" t="s">
        <v>661</v>
      </c>
      <c r="D35" s="72"/>
      <c r="E35" s="239"/>
    </row>
    <row r="36" spans="2:5" ht="78.75" hidden="1" thickBot="1">
      <c r="B36" s="36" t="s">
        <v>790</v>
      </c>
      <c r="C36" s="65" t="s">
        <v>661</v>
      </c>
      <c r="D36" s="44"/>
      <c r="E36" s="174"/>
    </row>
    <row r="37" spans="2:5" ht="48" hidden="1" thickBot="1">
      <c r="B37" s="67" t="s">
        <v>767</v>
      </c>
      <c r="C37" s="64" t="s">
        <v>766</v>
      </c>
      <c r="D37" s="43"/>
      <c r="E37" s="238"/>
    </row>
    <row r="38" spans="2:5" ht="32.25" hidden="1" thickBot="1">
      <c r="B38" s="67" t="s">
        <v>668</v>
      </c>
      <c r="C38" s="65" t="s">
        <v>661</v>
      </c>
      <c r="D38" s="44"/>
      <c r="E38" s="174"/>
    </row>
    <row r="39" spans="2:5" ht="16.5" hidden="1" thickBot="1">
      <c r="B39" s="67" t="s">
        <v>799</v>
      </c>
      <c r="C39" s="65" t="s">
        <v>661</v>
      </c>
      <c r="D39" s="44"/>
      <c r="E39" s="174"/>
    </row>
    <row r="40" spans="2:5" ht="39.75" hidden="1" thickBot="1">
      <c r="B40" s="67" t="s">
        <v>670</v>
      </c>
      <c r="C40" s="64" t="s">
        <v>684</v>
      </c>
      <c r="D40" s="46"/>
      <c r="E40" s="240"/>
    </row>
    <row r="41" spans="2:5" ht="48" hidden="1" thickBot="1">
      <c r="B41" s="68" t="s">
        <v>800</v>
      </c>
      <c r="C41" s="65" t="s">
        <v>661</v>
      </c>
      <c r="D41" s="44"/>
      <c r="E41" s="174"/>
    </row>
    <row r="42" spans="2:5" ht="16.5" thickBot="1">
      <c r="B42" s="69" t="s">
        <v>685</v>
      </c>
      <c r="C42" s="212" t="s">
        <v>817</v>
      </c>
      <c r="D42" s="43" t="s">
        <v>801</v>
      </c>
      <c r="E42" s="231">
        <v>25121.93</v>
      </c>
    </row>
    <row r="43" spans="2:5" ht="32.25" hidden="1" thickBot="1">
      <c r="B43" s="70" t="s">
        <v>802</v>
      </c>
      <c r="C43" s="47"/>
      <c r="D43" s="44"/>
      <c r="E43" s="174"/>
    </row>
    <row r="44" spans="2:5" ht="20.25" thickBot="1">
      <c r="B44" s="14" t="s">
        <v>760</v>
      </c>
      <c r="C44" s="17"/>
      <c r="E44" s="263">
        <f>E55</f>
        <v>299289.15</v>
      </c>
    </row>
    <row r="45" spans="2:5" ht="15.75" thickBot="1">
      <c r="B45" s="150" t="s">
        <v>672</v>
      </c>
      <c r="C45" s="15" t="s">
        <v>920</v>
      </c>
      <c r="D45" s="49" t="s">
        <v>673</v>
      </c>
      <c r="E45" s="176" t="s">
        <v>793</v>
      </c>
    </row>
    <row r="46" spans="2:5" ht="15.75">
      <c r="B46" s="188" t="s">
        <v>997</v>
      </c>
      <c r="C46" s="255" t="s">
        <v>661</v>
      </c>
      <c r="D46" s="154"/>
      <c r="E46" s="266">
        <f>7534.68+123.89</f>
        <v>7658.570000000001</v>
      </c>
    </row>
    <row r="47" spans="2:5" ht="14.25">
      <c r="B47" s="151" t="s">
        <v>676</v>
      </c>
      <c r="C47" s="116"/>
      <c r="D47" s="153"/>
      <c r="E47" s="177"/>
    </row>
    <row r="48" spans="2:5" ht="14.25">
      <c r="B48" s="132" t="s">
        <v>883</v>
      </c>
      <c r="C48" s="74" t="s">
        <v>661</v>
      </c>
      <c r="D48" s="153"/>
      <c r="E48" s="179">
        <f>196441.87+11919.32</f>
        <v>208361.19</v>
      </c>
    </row>
    <row r="49" spans="2:5" ht="14.25">
      <c r="B49" s="157" t="s">
        <v>880</v>
      </c>
      <c r="C49" s="74" t="s">
        <v>661</v>
      </c>
      <c r="D49" s="152"/>
      <c r="E49" s="177">
        <v>16844.7</v>
      </c>
    </row>
    <row r="50" spans="2:5" ht="14.25">
      <c r="B50" s="157" t="s">
        <v>925</v>
      </c>
      <c r="C50" s="74" t="s">
        <v>661</v>
      </c>
      <c r="D50" s="152"/>
      <c r="E50" s="177">
        <v>16298.55</v>
      </c>
    </row>
    <row r="51" spans="2:5" ht="15">
      <c r="B51" s="151" t="s">
        <v>1025</v>
      </c>
      <c r="C51" s="118"/>
      <c r="D51" s="152"/>
      <c r="E51" s="220"/>
    </row>
    <row r="52" spans="2:5" ht="14.25">
      <c r="B52" s="159" t="s">
        <v>998</v>
      </c>
      <c r="C52" s="74" t="s">
        <v>661</v>
      </c>
      <c r="D52" s="152"/>
      <c r="E52" s="177">
        <f>48455.28</f>
        <v>48455.28</v>
      </c>
    </row>
    <row r="53" spans="2:5" ht="15">
      <c r="B53" s="159" t="s">
        <v>929</v>
      </c>
      <c r="C53" s="74" t="s">
        <v>661</v>
      </c>
      <c r="D53" s="13"/>
      <c r="E53" s="268">
        <v>1670.86</v>
      </c>
    </row>
    <row r="54" spans="2:5" ht="12.75" hidden="1">
      <c r="B54" s="13"/>
      <c r="C54" s="13"/>
      <c r="D54" s="13"/>
      <c r="E54" s="85"/>
    </row>
    <row r="55" spans="2:5" ht="12.75" hidden="1">
      <c r="B55" s="117" t="s">
        <v>1014</v>
      </c>
      <c r="C55" s="13"/>
      <c r="D55" s="13"/>
      <c r="E55" s="256">
        <f>E48+E49+E52+E53+E50+E46</f>
        <v>299289.15</v>
      </c>
    </row>
    <row r="56" spans="2:5" ht="12.75">
      <c r="B56" s="103"/>
      <c r="C56" s="11"/>
      <c r="D56" s="11"/>
      <c r="E56" s="207"/>
    </row>
    <row r="57" spans="2:5" ht="12.75">
      <c r="B57" s="103"/>
      <c r="C57" s="11"/>
      <c r="D57" s="11"/>
      <c r="E57" s="207"/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1"/>
      <c r="C60" s="11"/>
      <c r="D60" s="11"/>
      <c r="E60" s="207"/>
    </row>
    <row r="61" spans="2:5" ht="15.75">
      <c r="B61" s="6" t="s">
        <v>830</v>
      </c>
      <c r="C61" s="6" t="s">
        <v>889</v>
      </c>
      <c r="E61" s="254"/>
    </row>
  </sheetData>
  <sheetProtection/>
  <mergeCells count="13">
    <mergeCell ref="B7:C7"/>
    <mergeCell ref="B9:C10"/>
    <mergeCell ref="B2:C2"/>
    <mergeCell ref="B3:C3"/>
    <mergeCell ref="B4:C4"/>
    <mergeCell ref="B5:C5"/>
    <mergeCell ref="B19:E19"/>
    <mergeCell ref="B12:C12"/>
    <mergeCell ref="B13:C13"/>
    <mergeCell ref="B14:C14"/>
    <mergeCell ref="B15:C15"/>
    <mergeCell ref="B16:C16"/>
    <mergeCell ref="B18:E1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99CC"/>
  </sheetPr>
  <dimension ref="A3:D78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1" max="1" width="64.421875" style="1" customWidth="1"/>
    <col min="2" max="2" width="9.281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0" style="0" hidden="1" customWidth="1"/>
  </cols>
  <sheetData>
    <row r="3" ht="12.75">
      <c r="D3" s="1" t="s">
        <v>792</v>
      </c>
    </row>
    <row r="5" spans="1:4" ht="22.5">
      <c r="A5" s="1331" t="s">
        <v>687</v>
      </c>
      <c r="B5" s="1331"/>
      <c r="C5" s="140"/>
      <c r="D5" s="140"/>
    </row>
    <row r="6" spans="1:4" ht="15.75">
      <c r="A6" s="1363" t="s">
        <v>497</v>
      </c>
      <c r="B6" s="1363"/>
      <c r="C6" s="91"/>
      <c r="D6" s="91"/>
    </row>
    <row r="7" spans="1:4" ht="15.75">
      <c r="A7" s="1363" t="s">
        <v>641</v>
      </c>
      <c r="B7" s="1363"/>
      <c r="C7" s="91"/>
      <c r="D7" s="91"/>
    </row>
    <row r="8" spans="1:4" ht="15.75">
      <c r="A8" s="1363" t="s">
        <v>804</v>
      </c>
      <c r="B8" s="1363"/>
      <c r="C8" s="91"/>
      <c r="D8" s="91"/>
    </row>
    <row r="9" spans="1:3" ht="18.75">
      <c r="A9" s="26"/>
      <c r="B9" s="26"/>
      <c r="C9"/>
    </row>
    <row r="10" spans="1:4" ht="15">
      <c r="A10" s="1343" t="s">
        <v>807</v>
      </c>
      <c r="B10" s="1343"/>
      <c r="C10" s="139"/>
      <c r="D10" s="139"/>
    </row>
    <row r="11" spans="1:4" ht="15">
      <c r="A11" s="324"/>
      <c r="B11" s="324"/>
      <c r="C11" s="139"/>
      <c r="D11" s="139"/>
    </row>
    <row r="12" spans="1:4" ht="12.75" customHeight="1">
      <c r="A12" s="1366" t="s">
        <v>642</v>
      </c>
      <c r="B12" s="1367"/>
      <c r="C12" s="1366" t="s">
        <v>895</v>
      </c>
      <c r="D12" s="1367"/>
    </row>
    <row r="13" spans="1:4" ht="12.75">
      <c r="A13" s="1368"/>
      <c r="B13" s="1369"/>
      <c r="C13" s="1368"/>
      <c r="D13" s="1369"/>
    </row>
    <row r="14" spans="1:4" ht="15">
      <c r="A14" s="372" t="s">
        <v>347</v>
      </c>
      <c r="B14" s="472"/>
      <c r="C14" s="1370">
        <v>123104.49</v>
      </c>
      <c r="D14" s="1371"/>
    </row>
    <row r="15" spans="1:4" ht="15">
      <c r="A15" s="471" t="s">
        <v>486</v>
      </c>
      <c r="B15" s="473"/>
      <c r="C15" s="1316">
        <v>633671.16</v>
      </c>
      <c r="D15" s="1317"/>
    </row>
    <row r="16" spans="1:4" ht="15">
      <c r="A16" s="470" t="s">
        <v>647</v>
      </c>
      <c r="B16" s="474"/>
      <c r="C16" s="1338">
        <v>606739.72</v>
      </c>
      <c r="D16" s="1339"/>
    </row>
    <row r="17" spans="1:4" ht="15">
      <c r="A17" s="475" t="s">
        <v>348</v>
      </c>
      <c r="B17" s="476"/>
      <c r="C17" s="1318">
        <f>C14+C15-C16</f>
        <v>150035.93000000005</v>
      </c>
      <c r="D17" s="1319"/>
    </row>
    <row r="18" spans="1:4" ht="14.25">
      <c r="A18" s="470" t="s">
        <v>539</v>
      </c>
      <c r="B18" s="474"/>
      <c r="C18" s="1334">
        <v>396245.48</v>
      </c>
      <c r="D18" s="1335"/>
    </row>
    <row r="19" spans="1:4" ht="12.75">
      <c r="A19" s="82"/>
      <c r="B19" s="83"/>
      <c r="C19" s="83"/>
      <c r="D19" s="83"/>
    </row>
    <row r="20" spans="2:4" ht="12.75">
      <c r="B20" s="83"/>
      <c r="C20" s="81"/>
      <c r="D20" s="314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6.25" thickBot="1">
      <c r="A24" s="501" t="s">
        <v>892</v>
      </c>
      <c r="B24" s="502" t="s">
        <v>667</v>
      </c>
      <c r="C24" s="499" t="s">
        <v>673</v>
      </c>
      <c r="D24" s="503" t="s">
        <v>793</v>
      </c>
    </row>
    <row r="25" spans="1:4" ht="16.5" thickBot="1">
      <c r="A25" s="477" t="s">
        <v>913</v>
      </c>
      <c r="B25" s="504"/>
      <c r="C25" s="456"/>
      <c r="D25" s="676"/>
    </row>
    <row r="26" spans="1:4" ht="26.25">
      <c r="A26" s="546" t="s">
        <v>105</v>
      </c>
      <c r="B26" s="637" t="s">
        <v>652</v>
      </c>
      <c r="C26" s="536"/>
      <c r="D26" s="528">
        <v>100907.71</v>
      </c>
    </row>
    <row r="27" spans="1:4" ht="15">
      <c r="A27" s="492" t="s">
        <v>654</v>
      </c>
      <c r="B27" s="398" t="s">
        <v>656</v>
      </c>
      <c r="C27" s="398" t="s">
        <v>801</v>
      </c>
      <c r="D27" s="509">
        <v>59120.09</v>
      </c>
    </row>
    <row r="28" spans="1:4" ht="24.75">
      <c r="A28" s="546" t="s">
        <v>14</v>
      </c>
      <c r="B28" s="397" t="s">
        <v>657</v>
      </c>
      <c r="C28" s="506"/>
      <c r="D28" s="507">
        <v>73907.77</v>
      </c>
    </row>
    <row r="29" spans="1:4" ht="15">
      <c r="A29" s="492" t="s">
        <v>985</v>
      </c>
      <c r="B29" s="399"/>
      <c r="C29" s="508"/>
      <c r="D29" s="509">
        <v>8343.48</v>
      </c>
    </row>
    <row r="30" spans="1:4" ht="15.75" thickBot="1">
      <c r="A30" s="413" t="s">
        <v>13</v>
      </c>
      <c r="B30" s="609"/>
      <c r="C30" s="610"/>
      <c r="D30" s="595">
        <v>10619.06</v>
      </c>
    </row>
    <row r="31" spans="1:4" ht="15.75" thickBot="1">
      <c r="A31" s="805" t="s">
        <v>701</v>
      </c>
      <c r="B31" s="980"/>
      <c r="C31" s="981"/>
      <c r="D31" s="839">
        <v>252898.11</v>
      </c>
    </row>
    <row r="32" spans="1:4" ht="15.75" thickBot="1">
      <c r="A32" s="487" t="s">
        <v>607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83" t="s">
        <v>203</v>
      </c>
      <c r="B34" s="570"/>
      <c r="C34" s="571">
        <v>1</v>
      </c>
      <c r="D34" s="434">
        <v>9661.04</v>
      </c>
    </row>
    <row r="35" spans="1:4" ht="15.75" thickBot="1">
      <c r="A35" s="843" t="s">
        <v>230</v>
      </c>
      <c r="B35" s="381" t="s">
        <v>40</v>
      </c>
      <c r="C35" s="439">
        <v>1</v>
      </c>
      <c r="D35" s="541">
        <v>1591.24</v>
      </c>
    </row>
    <row r="36" spans="1:4" ht="15.75" thickBot="1">
      <c r="A36" s="805" t="s">
        <v>701</v>
      </c>
      <c r="B36" s="817"/>
      <c r="C36" s="1020"/>
      <c r="D36" s="940">
        <v>11252.28</v>
      </c>
    </row>
    <row r="37" spans="1:4" ht="15">
      <c r="A37" s="465" t="s">
        <v>500</v>
      </c>
      <c r="B37" s="376"/>
      <c r="C37" s="441"/>
      <c r="D37" s="441"/>
    </row>
    <row r="38" spans="1:4" ht="15">
      <c r="A38" s="799" t="s">
        <v>972</v>
      </c>
      <c r="B38" s="1175"/>
      <c r="C38" s="836">
        <v>1</v>
      </c>
      <c r="D38" s="896">
        <v>26603</v>
      </c>
    </row>
    <row r="39" spans="1:4" ht="15.75" thickBot="1">
      <c r="A39" s="807" t="s">
        <v>455</v>
      </c>
      <c r="B39" s="358"/>
      <c r="C39" s="439">
        <v>2</v>
      </c>
      <c r="D39" s="424">
        <v>903.12</v>
      </c>
    </row>
    <row r="40" spans="1:4" ht="15.75" thickBot="1">
      <c r="A40" s="806" t="s">
        <v>701</v>
      </c>
      <c r="B40" s="976"/>
      <c r="C40" s="803"/>
      <c r="D40" s="841">
        <v>27506.12</v>
      </c>
    </row>
    <row r="41" spans="1:4" ht="15">
      <c r="A41" s="808" t="s">
        <v>501</v>
      </c>
      <c r="B41" s="382"/>
      <c r="C41" s="441"/>
      <c r="D41" s="896"/>
    </row>
    <row r="42" spans="1:4" ht="15">
      <c r="A42" s="377" t="s">
        <v>221</v>
      </c>
      <c r="B42" s="358" t="s">
        <v>40</v>
      </c>
      <c r="C42" s="421">
        <v>1</v>
      </c>
      <c r="D42" s="424">
        <v>1101.93</v>
      </c>
    </row>
    <row r="43" spans="1:4" ht="15.75" thickBot="1">
      <c r="A43" s="799" t="s">
        <v>383</v>
      </c>
      <c r="B43" s="381"/>
      <c r="C43" s="439">
        <v>3</v>
      </c>
      <c r="D43" s="424">
        <v>1541.84</v>
      </c>
    </row>
    <row r="44" spans="1:4" ht="15.75" thickBot="1">
      <c r="A44" s="806" t="s">
        <v>701</v>
      </c>
      <c r="B44" s="957"/>
      <c r="C44" s="803"/>
      <c r="D44" s="841">
        <v>2643.77</v>
      </c>
    </row>
    <row r="45" spans="1:4" ht="15">
      <c r="A45" s="808" t="s">
        <v>12</v>
      </c>
      <c r="B45" s="358"/>
      <c r="C45" s="421"/>
      <c r="D45" s="424"/>
    </row>
    <row r="46" spans="1:4" ht="15">
      <c r="A46" s="359" t="s">
        <v>415</v>
      </c>
      <c r="B46" s="364" t="s">
        <v>52</v>
      </c>
      <c r="C46" s="421">
        <v>2</v>
      </c>
      <c r="D46" s="424">
        <v>496.86</v>
      </c>
    </row>
    <row r="47" spans="1:4" ht="15">
      <c r="A47" s="359" t="s">
        <v>499</v>
      </c>
      <c r="B47" s="677"/>
      <c r="C47" s="421">
        <v>4</v>
      </c>
      <c r="D47" s="424">
        <v>3994.6</v>
      </c>
    </row>
    <row r="48" spans="1:4" ht="15.75" thickBot="1">
      <c r="A48" s="807" t="s">
        <v>886</v>
      </c>
      <c r="B48" s="978" t="s">
        <v>478</v>
      </c>
      <c r="C48" s="439">
        <v>15</v>
      </c>
      <c r="D48" s="425">
        <v>5509.27</v>
      </c>
    </row>
    <row r="49" spans="1:4" ht="15.75" thickBot="1">
      <c r="A49" s="806" t="s">
        <v>701</v>
      </c>
      <c r="B49" s="1018"/>
      <c r="C49" s="803"/>
      <c r="D49" s="533">
        <v>10000.73</v>
      </c>
    </row>
    <row r="50" spans="1:4" ht="15.75" thickBot="1">
      <c r="A50" s="1053"/>
      <c r="B50" s="1166"/>
      <c r="C50" s="836"/>
      <c r="D50" s="835"/>
    </row>
    <row r="51" spans="1:4" ht="15.75" thickBot="1">
      <c r="A51" s="806" t="s">
        <v>282</v>
      </c>
      <c r="B51" s="1018"/>
      <c r="C51" s="803"/>
      <c r="D51" s="858">
        <v>51402.9</v>
      </c>
    </row>
    <row r="52" spans="1:4" ht="15">
      <c r="A52" s="377"/>
      <c r="B52" s="382"/>
      <c r="C52" s="441"/>
      <c r="D52" s="441"/>
    </row>
    <row r="53" spans="1:4" ht="15">
      <c r="A53" s="1151" t="s">
        <v>743</v>
      </c>
      <c r="B53" s="364"/>
      <c r="C53" s="421"/>
      <c r="D53" s="869">
        <v>21891.76</v>
      </c>
    </row>
    <row r="54" spans="1:4" ht="15">
      <c r="A54" s="808" t="s">
        <v>904</v>
      </c>
      <c r="B54" s="368"/>
      <c r="C54" s="427"/>
      <c r="D54" s="428">
        <v>1785</v>
      </c>
    </row>
    <row r="55" spans="1:4" ht="15">
      <c r="A55" s="955" t="s">
        <v>735</v>
      </c>
      <c r="B55" s="677"/>
      <c r="C55" s="427"/>
      <c r="D55" s="869">
        <v>68267.71</v>
      </c>
    </row>
    <row r="56" spans="1:4" ht="15.75" thickBot="1">
      <c r="A56" s="526"/>
      <c r="B56" s="381"/>
      <c r="C56" s="435"/>
      <c r="D56" s="541"/>
    </row>
    <row r="57" spans="1:4" ht="15.75" thickBot="1">
      <c r="A57" s="806" t="s">
        <v>918</v>
      </c>
      <c r="B57" s="957"/>
      <c r="C57" s="907"/>
      <c r="D57" s="858">
        <v>396245.48</v>
      </c>
    </row>
    <row r="58" spans="1:4" ht="15">
      <c r="A58" s="530"/>
      <c r="B58" s="440"/>
      <c r="C58" s="661"/>
      <c r="D58" s="573"/>
    </row>
    <row r="59" spans="1:4" ht="15">
      <c r="A59" s="370"/>
      <c r="B59" s="370"/>
      <c r="C59" s="370"/>
      <c r="D59" s="371"/>
    </row>
    <row r="60" spans="1:4" ht="15">
      <c r="A60" s="370"/>
      <c r="B60" s="370"/>
      <c r="C60" s="370"/>
      <c r="D60" s="371"/>
    </row>
    <row r="61" spans="1:4" ht="14.25">
      <c r="A61" s="764"/>
      <c r="B61" s="358"/>
      <c r="C61" s="359"/>
      <c r="D61" s="1262"/>
    </row>
    <row r="62" spans="1:4" ht="15">
      <c r="A62" s="1251" t="s">
        <v>568</v>
      </c>
      <c r="B62" s="1257"/>
      <c r="C62" s="467"/>
      <c r="D62" s="467">
        <v>0</v>
      </c>
    </row>
    <row r="63" spans="1:4" ht="15">
      <c r="A63" s="1332" t="s">
        <v>569</v>
      </c>
      <c r="B63" s="1332"/>
      <c r="C63" s="628"/>
      <c r="D63" s="608">
        <v>606739.72</v>
      </c>
    </row>
    <row r="64" spans="1:4" ht="15">
      <c r="A64" s="1332" t="s">
        <v>570</v>
      </c>
      <c r="B64" s="1332"/>
      <c r="C64" s="607"/>
      <c r="D64" s="608">
        <v>396245.48</v>
      </c>
    </row>
    <row r="65" spans="1:4" ht="15">
      <c r="A65" s="1333" t="s">
        <v>571</v>
      </c>
      <c r="B65" s="1333"/>
      <c r="C65" s="629"/>
      <c r="D65" s="629">
        <v>-210494.24</v>
      </c>
    </row>
    <row r="66" spans="1:4" ht="15">
      <c r="A66" s="1332" t="s">
        <v>179</v>
      </c>
      <c r="B66" s="1332"/>
      <c r="C66" s="1258"/>
      <c r="D66" s="630">
        <v>-210494.24</v>
      </c>
    </row>
    <row r="67" spans="1:4" ht="15">
      <c r="A67" s="538"/>
      <c r="B67" s="538"/>
      <c r="C67" s="1259"/>
      <c r="D67" s="1260"/>
    </row>
    <row r="68" spans="1:4" ht="15">
      <c r="A68" s="538"/>
      <c r="B68" s="538"/>
      <c r="C68" s="1259"/>
      <c r="D68" s="1260"/>
    </row>
    <row r="69" spans="1:4" ht="15">
      <c r="A69" s="538"/>
      <c r="B69" s="538"/>
      <c r="C69" s="1259"/>
      <c r="D69" s="1260"/>
    </row>
    <row r="70" spans="1:4" ht="15">
      <c r="A70" s="538" t="s">
        <v>180</v>
      </c>
      <c r="B70" s="538"/>
      <c r="C70" s="1259" t="s">
        <v>573</v>
      </c>
      <c r="D70" s="1260"/>
    </row>
    <row r="71" spans="1:4" ht="15">
      <c r="A71" s="538"/>
      <c r="B71" s="538"/>
      <c r="C71" s="1259"/>
      <c r="D71" s="1260"/>
    </row>
    <row r="72" ht="12.75">
      <c r="A72" s="735" t="s">
        <v>357</v>
      </c>
    </row>
    <row r="73" ht="12.75">
      <c r="A73" s="735" t="s">
        <v>906</v>
      </c>
    </row>
    <row r="74" ht="12.75">
      <c r="A74" s="735" t="s">
        <v>358</v>
      </c>
    </row>
    <row r="76" ht="12.75">
      <c r="A76" s="735"/>
    </row>
    <row r="77" ht="12.75">
      <c r="A77" s="735"/>
    </row>
    <row r="78" ht="12.75">
      <c r="A78" s="735"/>
    </row>
  </sheetData>
  <sheetProtection/>
  <mergeCells count="18">
    <mergeCell ref="A10:B10"/>
    <mergeCell ref="A12:B13"/>
    <mergeCell ref="A5:B5"/>
    <mergeCell ref="A6:B6"/>
    <mergeCell ref="A7:B7"/>
    <mergeCell ref="A8:B8"/>
    <mergeCell ref="C12:D13"/>
    <mergeCell ref="C14:D14"/>
    <mergeCell ref="A21:D21"/>
    <mergeCell ref="A22:D22"/>
    <mergeCell ref="C15:D15"/>
    <mergeCell ref="C16:D16"/>
    <mergeCell ref="C17:D17"/>
    <mergeCell ref="C18:D18"/>
    <mergeCell ref="A63:B63"/>
    <mergeCell ref="A64:B64"/>
    <mergeCell ref="A65:B65"/>
    <mergeCell ref="A66:B66"/>
  </mergeCells>
  <printOptions/>
  <pageMargins left="0.1968503937007874" right="0" top="0.7874015748031497" bottom="0.9448818897637796" header="0.31496062992125984" footer="0.31496062992125984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4">
      <selection activeCell="A14" sqref="A14:IV14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1.710937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831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v>76455.97</v>
      </c>
      <c r="E11" s="25"/>
    </row>
    <row r="12" spans="2:5" ht="16.5" thickBot="1">
      <c r="B12" s="1398" t="s">
        <v>646</v>
      </c>
      <c r="C12" s="1399"/>
      <c r="D12" s="25">
        <v>804691.69</v>
      </c>
      <c r="E12" s="25"/>
    </row>
    <row r="13" spans="2:5" ht="16.5" thickBot="1">
      <c r="B13" s="1398" t="s">
        <v>647</v>
      </c>
      <c r="C13" s="1399"/>
      <c r="D13" s="25">
        <v>790917.15</v>
      </c>
      <c r="E13" s="25"/>
    </row>
    <row r="14" spans="2:5" ht="16.5" hidden="1" thickBot="1">
      <c r="B14" s="1398" t="s">
        <v>666</v>
      </c>
      <c r="C14" s="1399"/>
      <c r="D14" s="25"/>
      <c r="E14" s="25"/>
    </row>
    <row r="15" spans="2:5" ht="16.5" thickBot="1">
      <c r="B15" s="1398" t="s">
        <v>648</v>
      </c>
      <c r="C15" s="1399"/>
      <c r="D15" s="25">
        <f>D11+D12-D13</f>
        <v>90230.5099999999</v>
      </c>
      <c r="E15" s="25"/>
    </row>
    <row r="16" spans="2:5" ht="16.5" thickBot="1">
      <c r="B16" s="1398" t="s">
        <v>832</v>
      </c>
      <c r="C16" s="1399"/>
      <c r="D16" s="75">
        <f>E23+E45</f>
        <v>750259.2</v>
      </c>
      <c r="E16" s="73"/>
    </row>
    <row r="17" spans="3:4" ht="12.75">
      <c r="C17" s="83"/>
      <c r="D17" s="81"/>
    </row>
    <row r="18" spans="3:4" ht="12.75">
      <c r="C18" s="83"/>
      <c r="D18" s="81"/>
    </row>
    <row r="19" spans="2:5" ht="18.75">
      <c r="B19" s="1397" t="s">
        <v>650</v>
      </c>
      <c r="C19" s="1397"/>
      <c r="D19" s="1397"/>
      <c r="E19" s="1397"/>
    </row>
    <row r="20" spans="2:5" ht="18.75">
      <c r="B20" s="1397" t="s">
        <v>1009</v>
      </c>
      <c r="C20" s="1397"/>
      <c r="D20" s="1397"/>
      <c r="E20" s="1397"/>
    </row>
    <row r="21" ht="13.5" thickBot="1">
      <c r="D21" s="11"/>
    </row>
    <row r="22" spans="1:5" ht="48" thickBot="1">
      <c r="A22" s="9"/>
      <c r="B22" s="34" t="s">
        <v>651</v>
      </c>
      <c r="C22" s="60" t="s">
        <v>667</v>
      </c>
      <c r="D22" s="59" t="s">
        <v>673</v>
      </c>
      <c r="E22" s="63" t="s">
        <v>793</v>
      </c>
    </row>
    <row r="23" spans="1:5" ht="20.25" thickBot="1">
      <c r="A23" s="9"/>
      <c r="B23" s="35" t="s">
        <v>761</v>
      </c>
      <c r="C23" s="61"/>
      <c r="D23" s="10"/>
      <c r="E23" s="62">
        <f>E24+E30+E32+E33+E43</f>
        <v>349704.33999999997</v>
      </c>
    </row>
    <row r="24" spans="1:5" ht="32.25" thickBot="1">
      <c r="A24" s="11"/>
      <c r="B24" s="67" t="s">
        <v>662</v>
      </c>
      <c r="C24" s="64" t="s">
        <v>652</v>
      </c>
      <c r="D24" s="43"/>
      <c r="E24" s="230">
        <v>103058.17</v>
      </c>
    </row>
    <row r="25" spans="2:5" ht="32.25" hidden="1" thickBot="1">
      <c r="B25" s="67" t="s">
        <v>686</v>
      </c>
      <c r="C25" s="65" t="s">
        <v>661</v>
      </c>
      <c r="D25" s="44"/>
      <c r="E25" s="174"/>
    </row>
    <row r="26" spans="2:5" ht="16.5" hidden="1" thickBot="1">
      <c r="B26" s="67" t="s">
        <v>765</v>
      </c>
      <c r="C26" s="65" t="s">
        <v>661</v>
      </c>
      <c r="D26" s="44"/>
      <c r="E26" s="174"/>
    </row>
    <row r="27" spans="2:5" ht="39.75" hidden="1" thickBot="1">
      <c r="B27" s="67" t="s">
        <v>655</v>
      </c>
      <c r="C27" s="64" t="s">
        <v>653</v>
      </c>
      <c r="D27" s="45"/>
      <c r="E27" s="237"/>
    </row>
    <row r="28" spans="2:5" ht="48" hidden="1" thickBot="1">
      <c r="B28" s="67" t="s">
        <v>796</v>
      </c>
      <c r="C28" s="65" t="s">
        <v>661</v>
      </c>
      <c r="D28" s="44"/>
      <c r="E28" s="174"/>
    </row>
    <row r="29" spans="2:5" ht="48" hidden="1" thickBot="1">
      <c r="B29" s="67" t="s">
        <v>797</v>
      </c>
      <c r="C29" s="65" t="s">
        <v>661</v>
      </c>
      <c r="D29" s="44"/>
      <c r="E29" s="174"/>
    </row>
    <row r="30" spans="2:5" ht="16.5" thickBot="1">
      <c r="B30" s="67" t="s">
        <v>654</v>
      </c>
      <c r="C30" s="48" t="s">
        <v>656</v>
      </c>
      <c r="D30" s="43" t="s">
        <v>801</v>
      </c>
      <c r="E30" s="230">
        <v>92721.55</v>
      </c>
    </row>
    <row r="31" spans="2:5" ht="32.25" hidden="1" thickBot="1">
      <c r="B31" s="67" t="s">
        <v>798</v>
      </c>
      <c r="C31" s="65" t="s">
        <v>661</v>
      </c>
      <c r="D31" s="47" t="s">
        <v>822</v>
      </c>
      <c r="E31" s="174"/>
    </row>
    <row r="32" spans="2:5" ht="27" thickBot="1">
      <c r="B32" s="67" t="s">
        <v>658</v>
      </c>
      <c r="C32" s="64" t="s">
        <v>657</v>
      </c>
      <c r="D32" s="43"/>
      <c r="E32" s="230">
        <v>106114.95</v>
      </c>
    </row>
    <row r="33" spans="2:5" ht="16.5" thickBot="1">
      <c r="B33" s="133" t="s">
        <v>799</v>
      </c>
      <c r="C33" s="64" t="s">
        <v>661</v>
      </c>
      <c r="D33" s="43"/>
      <c r="E33" s="230">
        <v>22948.16</v>
      </c>
    </row>
    <row r="34" spans="2:5" ht="32.25" hidden="1" thickBot="1">
      <c r="B34" s="68" t="s">
        <v>758</v>
      </c>
      <c r="C34" s="64" t="s">
        <v>665</v>
      </c>
      <c r="D34" s="43"/>
      <c r="E34" s="238"/>
    </row>
    <row r="35" spans="2:5" ht="32.25" hidden="1" thickBot="1">
      <c r="B35" s="67" t="s">
        <v>664</v>
      </c>
      <c r="C35" s="65" t="s">
        <v>661</v>
      </c>
      <c r="D35" s="44"/>
      <c r="E35" s="174"/>
    </row>
    <row r="36" spans="2:5" ht="32.25" hidden="1" thickBot="1">
      <c r="B36" s="67" t="s">
        <v>671</v>
      </c>
      <c r="C36" s="65" t="s">
        <v>661</v>
      </c>
      <c r="D36" s="72"/>
      <c r="E36" s="239"/>
    </row>
    <row r="37" spans="2:5" ht="94.5" hidden="1" thickBot="1">
      <c r="B37" s="36" t="s">
        <v>790</v>
      </c>
      <c r="C37" s="65" t="s">
        <v>661</v>
      </c>
      <c r="D37" s="44"/>
      <c r="E37" s="174"/>
    </row>
    <row r="38" spans="2:5" ht="63.75" hidden="1" thickBot="1">
      <c r="B38" s="67" t="s">
        <v>767</v>
      </c>
      <c r="C38" s="64" t="s">
        <v>766</v>
      </c>
      <c r="D38" s="43"/>
      <c r="E38" s="238"/>
    </row>
    <row r="39" spans="2:5" ht="32.25" hidden="1" thickBot="1">
      <c r="B39" s="67" t="s">
        <v>668</v>
      </c>
      <c r="C39" s="65" t="s">
        <v>661</v>
      </c>
      <c r="D39" s="44"/>
      <c r="E39" s="174"/>
    </row>
    <row r="40" spans="2:5" ht="16.5" hidden="1" thickBot="1">
      <c r="B40" s="67" t="s">
        <v>799</v>
      </c>
      <c r="C40" s="65" t="s">
        <v>661</v>
      </c>
      <c r="D40" s="44"/>
      <c r="E40" s="174"/>
    </row>
    <row r="41" spans="2:5" ht="52.5" hidden="1" thickBot="1">
      <c r="B41" s="67" t="s">
        <v>670</v>
      </c>
      <c r="C41" s="64" t="s">
        <v>684</v>
      </c>
      <c r="D41" s="46"/>
      <c r="E41" s="240"/>
    </row>
    <row r="42" spans="2:5" ht="63.75" hidden="1" thickBot="1">
      <c r="B42" s="68" t="s">
        <v>800</v>
      </c>
      <c r="C42" s="65" t="s">
        <v>661</v>
      </c>
      <c r="D42" s="44"/>
      <c r="E42" s="251"/>
    </row>
    <row r="43" spans="2:5" ht="16.5" thickBot="1">
      <c r="B43" s="69" t="s">
        <v>685</v>
      </c>
      <c r="C43" s="212" t="s">
        <v>817</v>
      </c>
      <c r="D43" s="43" t="s">
        <v>801</v>
      </c>
      <c r="E43" s="231">
        <v>24861.51</v>
      </c>
    </row>
    <row r="44" spans="2:5" ht="32.25" hidden="1" thickBot="1">
      <c r="B44" s="70" t="s">
        <v>802</v>
      </c>
      <c r="C44" s="47"/>
      <c r="D44" s="44"/>
      <c r="E44" s="252"/>
    </row>
    <row r="45" spans="2:5" ht="20.25" thickBot="1">
      <c r="B45" s="14" t="s">
        <v>760</v>
      </c>
      <c r="C45" s="17"/>
      <c r="E45" s="261">
        <f>E59</f>
        <v>400554.86</v>
      </c>
    </row>
    <row r="46" spans="2:5" ht="24.75" thickBot="1">
      <c r="B46" s="150" t="s">
        <v>672</v>
      </c>
      <c r="C46" s="15" t="s">
        <v>920</v>
      </c>
      <c r="D46" s="49" t="s">
        <v>673</v>
      </c>
      <c r="E46" s="176" t="s">
        <v>793</v>
      </c>
    </row>
    <row r="47" spans="2:5" ht="15.75">
      <c r="B47" s="217" t="s">
        <v>816</v>
      </c>
      <c r="C47" s="255" t="s">
        <v>661</v>
      </c>
      <c r="D47" s="149"/>
      <c r="E47" s="266">
        <v>320.81</v>
      </c>
    </row>
    <row r="48" spans="2:5" ht="15.75">
      <c r="B48" s="188" t="s">
        <v>997</v>
      </c>
      <c r="C48" s="255" t="s">
        <v>661</v>
      </c>
      <c r="D48" s="154"/>
      <c r="E48" s="266">
        <f>1208.3+27606.81+10990.84</f>
        <v>39805.95</v>
      </c>
    </row>
    <row r="49" spans="2:5" ht="15.75">
      <c r="B49" s="188" t="s">
        <v>930</v>
      </c>
      <c r="C49" s="255" t="s">
        <v>661</v>
      </c>
      <c r="D49" s="154"/>
      <c r="E49" s="266">
        <v>21211.8</v>
      </c>
    </row>
    <row r="50" spans="2:5" ht="15.75">
      <c r="B50" s="188" t="s">
        <v>1000</v>
      </c>
      <c r="C50" s="255" t="s">
        <v>661</v>
      </c>
      <c r="D50" s="154"/>
      <c r="E50" s="266">
        <v>226681.12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1331.89+42413.59</f>
        <v>43745.479999999996</v>
      </c>
    </row>
    <row r="53" spans="2:5" ht="14.25">
      <c r="B53" s="157" t="s">
        <v>880</v>
      </c>
      <c r="C53" s="74" t="s">
        <v>661</v>
      </c>
      <c r="D53" s="152"/>
      <c r="E53" s="177">
        <v>13999.82</v>
      </c>
    </row>
    <row r="54" spans="2:5" ht="14.25">
      <c r="B54" s="157" t="s">
        <v>925</v>
      </c>
      <c r="C54" s="74" t="s">
        <v>661</v>
      </c>
      <c r="D54" s="152"/>
      <c r="E54" s="177">
        <v>2921.26</v>
      </c>
    </row>
    <row r="55" spans="2:5" ht="15">
      <c r="B55" s="151" t="s">
        <v>1025</v>
      </c>
      <c r="C55" s="118"/>
      <c r="D55" s="152"/>
      <c r="E55" s="220"/>
    </row>
    <row r="56" spans="2:5" ht="14.25">
      <c r="B56" s="159" t="s">
        <v>998</v>
      </c>
      <c r="C56" s="74" t="s">
        <v>661</v>
      </c>
      <c r="D56" s="152"/>
      <c r="E56" s="177">
        <f>36046.42+14162.44</f>
        <v>50208.86</v>
      </c>
    </row>
    <row r="57" spans="2:5" ht="15">
      <c r="B57" s="159" t="s">
        <v>929</v>
      </c>
      <c r="C57" s="74" t="s">
        <v>661</v>
      </c>
      <c r="D57" s="13"/>
      <c r="E57" s="268">
        <v>1659.76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E47+E52+E53+E56+E57+E54+E48+E49+E50</f>
        <v>400554.86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1"/>
      <c r="C64" s="11"/>
      <c r="D64" s="11"/>
      <c r="E64" s="207"/>
    </row>
    <row r="65" spans="2:5" ht="15.75">
      <c r="B65" s="6" t="s">
        <v>830</v>
      </c>
      <c r="C65" s="6" t="s">
        <v>889</v>
      </c>
      <c r="E65" s="254"/>
    </row>
  </sheetData>
  <sheetProtection/>
  <mergeCells count="13">
    <mergeCell ref="B7:C7"/>
    <mergeCell ref="B9:C10"/>
    <mergeCell ref="B2:C2"/>
    <mergeCell ref="B3:C3"/>
    <mergeCell ref="B4:C4"/>
    <mergeCell ref="B5:C5"/>
    <mergeCell ref="B20:E20"/>
    <mergeCell ref="B12:C12"/>
    <mergeCell ref="B13:C13"/>
    <mergeCell ref="B14:C14"/>
    <mergeCell ref="B15:C15"/>
    <mergeCell ref="B16:C16"/>
    <mergeCell ref="B19:E19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99CC"/>
  </sheetPr>
  <dimension ref="A3:G8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00390625" style="1" customWidth="1"/>
    <col min="3" max="4" width="14.57421875" style="1" customWidth="1"/>
    <col min="5" max="6" width="0" style="0" hidden="1" customWidth="1"/>
    <col min="7" max="7" width="9.57421875" style="0" bestFit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808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729" t="s">
        <v>471</v>
      </c>
      <c r="D11" s="726" t="s">
        <v>469</v>
      </c>
    </row>
    <row r="12" spans="1:4" ht="12.75">
      <c r="A12" s="1368"/>
      <c r="B12" s="1369"/>
      <c r="C12" s="730" t="s">
        <v>472</v>
      </c>
      <c r="D12" s="727" t="s">
        <v>470</v>
      </c>
    </row>
    <row r="13" spans="1:4" ht="15">
      <c r="A13" s="372" t="s">
        <v>347</v>
      </c>
      <c r="B13" s="472"/>
      <c r="C13" s="732">
        <v>152966.27</v>
      </c>
      <c r="D13" s="793">
        <v>15906.27</v>
      </c>
    </row>
    <row r="14" spans="1:4" ht="14.25">
      <c r="A14" s="471" t="s">
        <v>486</v>
      </c>
      <c r="B14" s="473"/>
      <c r="C14" s="81">
        <v>879862.1</v>
      </c>
      <c r="D14" s="731">
        <v>142704.8</v>
      </c>
    </row>
    <row r="15" spans="1:4" ht="14.25">
      <c r="A15" s="470" t="s">
        <v>647</v>
      </c>
      <c r="B15" s="474"/>
      <c r="C15" s="728">
        <v>876622.5</v>
      </c>
      <c r="D15" s="498">
        <v>135587.99</v>
      </c>
    </row>
    <row r="16" spans="1:4" ht="15">
      <c r="A16" s="475" t="s">
        <v>348</v>
      </c>
      <c r="B16" s="476"/>
      <c r="C16" s="733">
        <f>C13+C14-C15</f>
        <v>156205.87</v>
      </c>
      <c r="D16" s="734">
        <v>23023.08</v>
      </c>
    </row>
    <row r="17" spans="1:7" ht="14.25">
      <c r="A17" s="470" t="s">
        <v>540</v>
      </c>
      <c r="B17" s="474"/>
      <c r="C17" s="732">
        <v>640818.46</v>
      </c>
      <c r="D17" s="498"/>
      <c r="G17" s="111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37" t="s">
        <v>105</v>
      </c>
      <c r="B25" s="637" t="s">
        <v>652</v>
      </c>
      <c r="C25" s="536"/>
      <c r="D25" s="528">
        <v>160490.39</v>
      </c>
    </row>
    <row r="26" spans="1:4" ht="15">
      <c r="A26" s="389" t="s">
        <v>654</v>
      </c>
      <c r="B26" s="398" t="s">
        <v>656</v>
      </c>
      <c r="C26" s="398" t="s">
        <v>801</v>
      </c>
      <c r="D26" s="509">
        <v>94028.56</v>
      </c>
    </row>
    <row r="27" spans="1:4" ht="24.75">
      <c r="A27" s="537" t="s">
        <v>14</v>
      </c>
      <c r="B27" s="397" t="s">
        <v>657</v>
      </c>
      <c r="C27" s="506"/>
      <c r="D27" s="507">
        <v>117547.88</v>
      </c>
    </row>
    <row r="28" spans="1:4" ht="16.5" customHeight="1">
      <c r="A28" s="389" t="s">
        <v>395</v>
      </c>
      <c r="B28" s="399"/>
      <c r="C28" s="508"/>
      <c r="D28" s="509">
        <v>9603.13</v>
      </c>
    </row>
    <row r="29" spans="1:4" ht="15.75" thickBot="1">
      <c r="A29" s="390" t="s">
        <v>13</v>
      </c>
      <c r="B29" s="1103" t="s">
        <v>661</v>
      </c>
      <c r="C29" s="617"/>
      <c r="D29" s="618">
        <v>41818</v>
      </c>
    </row>
    <row r="30" spans="1:4" ht="15.75" thickBot="1">
      <c r="A30" s="805" t="s">
        <v>701</v>
      </c>
      <c r="B30" s="980"/>
      <c r="C30" s="981"/>
      <c r="D30" s="839">
        <v>423487.96</v>
      </c>
    </row>
    <row r="31" spans="1:4" ht="15.75" thickBot="1">
      <c r="A31" s="487" t="s">
        <v>914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515" t="s">
        <v>673</v>
      </c>
      <c r="D32" s="516" t="s">
        <v>793</v>
      </c>
    </row>
    <row r="33" spans="1:4" ht="15">
      <c r="A33" s="377" t="s">
        <v>11</v>
      </c>
      <c r="B33" s="570"/>
      <c r="C33" s="602"/>
      <c r="D33" s="434">
        <v>20470.97</v>
      </c>
    </row>
    <row r="34" spans="1:4" ht="15">
      <c r="A34" s="377" t="s">
        <v>896</v>
      </c>
      <c r="B34" s="570" t="s">
        <v>478</v>
      </c>
      <c r="C34" s="602">
        <v>1</v>
      </c>
      <c r="D34" s="434">
        <v>269.66</v>
      </c>
    </row>
    <row r="35" spans="1:4" ht="15">
      <c r="A35" s="389" t="s">
        <v>60</v>
      </c>
      <c r="B35" s="746" t="s">
        <v>817</v>
      </c>
      <c r="C35" s="491">
        <v>1</v>
      </c>
      <c r="D35" s="402">
        <v>4016.4</v>
      </c>
    </row>
    <row r="36" spans="1:4" ht="15.75" thickBot="1">
      <c r="A36" s="843" t="s">
        <v>502</v>
      </c>
      <c r="B36" s="758"/>
      <c r="C36" s="750">
        <v>1</v>
      </c>
      <c r="D36" s="1064">
        <v>4182.16</v>
      </c>
    </row>
    <row r="37" spans="1:4" ht="15.75" thickBot="1">
      <c r="A37" s="806" t="s">
        <v>701</v>
      </c>
      <c r="B37" s="957"/>
      <c r="C37" s="1215"/>
      <c r="D37" s="1138">
        <v>28939.19</v>
      </c>
    </row>
    <row r="38" spans="1:4" ht="15">
      <c r="A38" s="465" t="s">
        <v>445</v>
      </c>
      <c r="B38" s="362"/>
      <c r="C38" s="421"/>
      <c r="D38" s="359"/>
    </row>
    <row r="39" spans="1:4" ht="15">
      <c r="A39" s="359" t="s">
        <v>324</v>
      </c>
      <c r="B39" s="365" t="s">
        <v>52</v>
      </c>
      <c r="C39" s="421">
        <v>1</v>
      </c>
      <c r="D39" s="555">
        <v>4208.44</v>
      </c>
    </row>
    <row r="40" spans="1:4" ht="15">
      <c r="A40" s="359" t="s">
        <v>369</v>
      </c>
      <c r="B40" s="365" t="s">
        <v>478</v>
      </c>
      <c r="C40" s="421">
        <v>2</v>
      </c>
      <c r="D40" s="555">
        <v>1102.07</v>
      </c>
    </row>
    <row r="41" spans="1:4" ht="15.75" thickBot="1">
      <c r="A41" s="807" t="s">
        <v>455</v>
      </c>
      <c r="B41" s="758"/>
      <c r="C41" s="809">
        <v>6</v>
      </c>
      <c r="D41" s="425">
        <v>3395.35</v>
      </c>
    </row>
    <row r="42" spans="1:4" ht="15.75" thickBot="1">
      <c r="A42" s="806" t="s">
        <v>701</v>
      </c>
      <c r="B42" s="811"/>
      <c r="C42" s="812"/>
      <c r="D42" s="533">
        <v>8705.86</v>
      </c>
    </row>
    <row r="43" spans="1:4" ht="15">
      <c r="A43" s="808" t="s">
        <v>780</v>
      </c>
      <c r="B43" s="570"/>
      <c r="C43" s="441"/>
      <c r="D43" s="810"/>
    </row>
    <row r="44" spans="1:4" ht="15">
      <c r="A44" s="359" t="s">
        <v>266</v>
      </c>
      <c r="B44" s="365" t="s">
        <v>478</v>
      </c>
      <c r="C44" s="421">
        <v>1</v>
      </c>
      <c r="D44" s="425">
        <v>503.25</v>
      </c>
    </row>
    <row r="45" spans="1:4" ht="15.75" thickBot="1">
      <c r="A45" s="807" t="s">
        <v>197</v>
      </c>
      <c r="B45" s="758"/>
      <c r="C45" s="809">
        <v>2</v>
      </c>
      <c r="D45" s="425">
        <v>772.89</v>
      </c>
    </row>
    <row r="46" spans="1:4" ht="15.75" thickBot="1">
      <c r="A46" s="806" t="s">
        <v>701</v>
      </c>
      <c r="B46" s="811"/>
      <c r="C46" s="803"/>
      <c r="D46" s="841">
        <v>1276.14</v>
      </c>
    </row>
    <row r="47" spans="1:4" ht="15">
      <c r="A47" s="890" t="s">
        <v>361</v>
      </c>
      <c r="B47" s="570"/>
      <c r="C47" s="441"/>
      <c r="D47" s="441"/>
    </row>
    <row r="48" spans="1:4" ht="15">
      <c r="A48" s="387" t="s">
        <v>212</v>
      </c>
      <c r="B48" s="365" t="s">
        <v>81</v>
      </c>
      <c r="C48" s="421">
        <v>1</v>
      </c>
      <c r="D48" s="421">
        <v>1184.49</v>
      </c>
    </row>
    <row r="49" spans="1:4" ht="15.75" thickBot="1">
      <c r="A49" s="526" t="s">
        <v>882</v>
      </c>
      <c r="B49" s="758"/>
      <c r="C49" s="439">
        <v>1</v>
      </c>
      <c r="D49" s="439">
        <v>340.62</v>
      </c>
    </row>
    <row r="50" spans="1:4" ht="15.75" thickBot="1">
      <c r="A50" s="806" t="s">
        <v>701</v>
      </c>
      <c r="B50" s="811"/>
      <c r="C50" s="803"/>
      <c r="D50" s="863">
        <v>1525.11</v>
      </c>
    </row>
    <row r="51" spans="1:4" ht="15">
      <c r="A51" s="890" t="s">
        <v>781</v>
      </c>
      <c r="B51" s="570"/>
      <c r="C51" s="441"/>
      <c r="D51" s="441"/>
    </row>
    <row r="52" spans="1:4" ht="15">
      <c r="A52" s="377" t="s">
        <v>886</v>
      </c>
      <c r="B52" s="570" t="s">
        <v>478</v>
      </c>
      <c r="C52" s="946">
        <v>11</v>
      </c>
      <c r="D52" s="896">
        <v>6350.56</v>
      </c>
    </row>
    <row r="53" spans="1:4" ht="15">
      <c r="A53" s="359" t="s">
        <v>415</v>
      </c>
      <c r="B53" s="365" t="s">
        <v>52</v>
      </c>
      <c r="C53" s="421">
        <v>3</v>
      </c>
      <c r="D53" s="424">
        <v>466.88</v>
      </c>
    </row>
    <row r="54" spans="1:4" ht="15.75" thickBot="1">
      <c r="A54" s="807" t="s">
        <v>692</v>
      </c>
      <c r="B54" s="758"/>
      <c r="C54" s="439">
        <v>6</v>
      </c>
      <c r="D54" s="425">
        <v>3737.95</v>
      </c>
    </row>
    <row r="55" spans="1:4" ht="15.75" thickBot="1">
      <c r="A55" s="806" t="s">
        <v>701</v>
      </c>
      <c r="B55" s="811"/>
      <c r="C55" s="803"/>
      <c r="D55" s="533">
        <v>10555.39</v>
      </c>
    </row>
    <row r="56" spans="1:4" ht="15.75" thickBot="1">
      <c r="A56" s="1053"/>
      <c r="B56" s="834"/>
      <c r="C56" s="836"/>
      <c r="D56" s="835"/>
    </row>
    <row r="57" spans="1:4" ht="15.75" thickBot="1">
      <c r="A57" s="806" t="s">
        <v>503</v>
      </c>
      <c r="B57" s="811"/>
      <c r="C57" s="803"/>
      <c r="D57" s="533">
        <v>51001.69</v>
      </c>
    </row>
    <row r="58" spans="1:4" ht="15">
      <c r="A58" s="377"/>
      <c r="B58" s="570"/>
      <c r="C58" s="900"/>
      <c r="D58" s="836"/>
    </row>
    <row r="59" spans="1:4" ht="15">
      <c r="A59" s="944" t="s">
        <v>743</v>
      </c>
      <c r="B59" s="365"/>
      <c r="C59" s="427"/>
      <c r="D59" s="869">
        <v>34818.13</v>
      </c>
    </row>
    <row r="60" spans="1:4" ht="15">
      <c r="A60" s="808" t="s">
        <v>904</v>
      </c>
      <c r="B60" s="757"/>
      <c r="C60" s="427"/>
      <c r="D60" s="428">
        <v>13160.62</v>
      </c>
    </row>
    <row r="61" spans="1:4" ht="15">
      <c r="A61" s="955" t="s">
        <v>735</v>
      </c>
      <c r="B61" s="365"/>
      <c r="C61" s="427"/>
      <c r="D61" s="869">
        <v>118350.06</v>
      </c>
    </row>
    <row r="62" spans="1:4" ht="15.75" thickBot="1">
      <c r="A62" s="526"/>
      <c r="B62" s="758"/>
      <c r="C62" s="435"/>
      <c r="D62" s="541"/>
    </row>
    <row r="63" spans="1:4" ht="15.75" thickBot="1">
      <c r="A63" s="806" t="s">
        <v>918</v>
      </c>
      <c r="B63" s="957"/>
      <c r="C63" s="907"/>
      <c r="D63" s="858">
        <v>640818.46</v>
      </c>
    </row>
    <row r="64" spans="1:4" ht="15">
      <c r="A64" s="572"/>
      <c r="B64" s="440"/>
      <c r="C64" s="531"/>
      <c r="D64" s="573"/>
    </row>
    <row r="65" spans="1:4" ht="15">
      <c r="A65" s="370"/>
      <c r="B65" s="370"/>
      <c r="C65" s="370"/>
      <c r="D65" s="371"/>
    </row>
    <row r="66" spans="1:4" ht="15">
      <c r="A66" s="370"/>
      <c r="B66" s="370"/>
      <c r="C66" s="370"/>
      <c r="D66" s="371"/>
    </row>
    <row r="67" spans="1:4" ht="14.25">
      <c r="A67" s="764"/>
      <c r="B67" s="358"/>
      <c r="C67" s="359"/>
      <c r="D67" s="1262"/>
    </row>
    <row r="68" spans="1:4" ht="15">
      <c r="A68" s="1251" t="s">
        <v>568</v>
      </c>
      <c r="B68" s="1257"/>
      <c r="C68" s="467"/>
      <c r="D68" s="467">
        <v>0</v>
      </c>
    </row>
    <row r="69" spans="1:4" ht="15">
      <c r="A69" s="1332" t="s">
        <v>569</v>
      </c>
      <c r="B69" s="1332"/>
      <c r="C69" s="628"/>
      <c r="D69" s="608">
        <v>876622.5</v>
      </c>
    </row>
    <row r="70" spans="1:4" ht="15">
      <c r="A70" s="1332" t="s">
        <v>570</v>
      </c>
      <c r="B70" s="1332"/>
      <c r="C70" s="607"/>
      <c r="D70" s="608">
        <v>640818.46</v>
      </c>
    </row>
    <row r="71" spans="1:4" ht="15">
      <c r="A71" s="1333" t="s">
        <v>571</v>
      </c>
      <c r="B71" s="1333"/>
      <c r="C71" s="629"/>
      <c r="D71" s="629">
        <v>-235804.04</v>
      </c>
    </row>
    <row r="72" spans="1:4" ht="15">
      <c r="A72" s="1332" t="s">
        <v>179</v>
      </c>
      <c r="B72" s="1332"/>
      <c r="C72" s="1258"/>
      <c r="D72" s="630">
        <v>-235804.04</v>
      </c>
    </row>
    <row r="73" spans="1:4" ht="15">
      <c r="A73" s="538"/>
      <c r="B73" s="538"/>
      <c r="C73" s="1259"/>
      <c r="D73" s="1260"/>
    </row>
    <row r="74" spans="1:4" ht="15">
      <c r="A74" s="538"/>
      <c r="B74" s="538"/>
      <c r="C74" s="1259"/>
      <c r="D74" s="1260"/>
    </row>
    <row r="75" spans="1:4" ht="15">
      <c r="A75" s="538"/>
      <c r="B75" s="538"/>
      <c r="C75" s="1259"/>
      <c r="D75" s="1260"/>
    </row>
    <row r="76" spans="1:4" ht="15">
      <c r="A76" s="538" t="s">
        <v>180</v>
      </c>
      <c r="B76" s="538"/>
      <c r="C76" s="1259" t="s">
        <v>573</v>
      </c>
      <c r="D76" s="1260"/>
    </row>
    <row r="77" spans="1:4" ht="15">
      <c r="A77" s="538"/>
      <c r="B77" s="538"/>
      <c r="C77" s="1259"/>
      <c r="D77" s="1260"/>
    </row>
    <row r="78" ht="12.75">
      <c r="A78" s="735" t="s">
        <v>357</v>
      </c>
    </row>
    <row r="79" ht="12.75">
      <c r="A79" s="735" t="s">
        <v>906</v>
      </c>
    </row>
    <row r="80" ht="12.75">
      <c r="A80" s="735" t="s">
        <v>358</v>
      </c>
    </row>
  </sheetData>
  <sheetProtection/>
  <mergeCells count="12">
    <mergeCell ref="A20:D20"/>
    <mergeCell ref="A21:D21"/>
    <mergeCell ref="A4:B4"/>
    <mergeCell ref="A5:B5"/>
    <mergeCell ref="A6:B6"/>
    <mergeCell ref="A7:B7"/>
    <mergeCell ref="A9:B9"/>
    <mergeCell ref="A11:B12"/>
    <mergeCell ref="A69:B69"/>
    <mergeCell ref="A70:B70"/>
    <mergeCell ref="A71:B71"/>
    <mergeCell ref="A72:B72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4">
      <selection activeCell="A14" sqref="A14:IV14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1007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/>
      <c r="D11" s="136"/>
    </row>
    <row r="12" spans="1:4" ht="15.75" thickBot="1">
      <c r="A12" s="1341" t="s">
        <v>646</v>
      </c>
      <c r="B12" s="1342"/>
      <c r="C12" s="137">
        <v>109759.05</v>
      </c>
      <c r="D12" s="136">
        <v>25371.1</v>
      </c>
    </row>
    <row r="13" spans="1:4" ht="15.75" thickBot="1">
      <c r="A13" s="1341" t="s">
        <v>647</v>
      </c>
      <c r="B13" s="1342"/>
      <c r="C13" s="135">
        <v>68956.15</v>
      </c>
      <c r="D13" s="136">
        <v>16161.71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6">
        <f>C11+C12-C13</f>
        <v>40802.90000000001</v>
      </c>
      <c r="D15" s="136">
        <f>D11+D12-D13</f>
        <v>9209.39</v>
      </c>
    </row>
    <row r="16" spans="1:4" ht="15.75" thickBot="1">
      <c r="A16" s="1341" t="s">
        <v>806</v>
      </c>
      <c r="B16" s="1342"/>
      <c r="C16" s="170">
        <f>D22+D27</f>
        <v>34896.840000000004</v>
      </c>
      <c r="D16" s="138"/>
    </row>
    <row r="17" spans="2:3" ht="12.75">
      <c r="B17" s="83"/>
      <c r="C17" s="81"/>
    </row>
    <row r="18" spans="1:4" ht="18.75">
      <c r="A18" s="1397" t="s">
        <v>650</v>
      </c>
      <c r="B18" s="1397"/>
      <c r="C18" s="1397"/>
      <c r="D18" s="1397"/>
    </row>
    <row r="19" spans="1:4" ht="18.75">
      <c r="A19" s="1397" t="s">
        <v>1009</v>
      </c>
      <c r="B19" s="1397"/>
      <c r="C19" s="1397"/>
      <c r="D19" s="1397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</f>
        <v>25029.33</v>
      </c>
    </row>
    <row r="23" spans="1:4" ht="27" thickBot="1">
      <c r="A23" s="166" t="s">
        <v>662</v>
      </c>
      <c r="B23" s="64" t="s">
        <v>652</v>
      </c>
      <c r="C23" s="45"/>
      <c r="D23" s="208">
        <v>6027.19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208">
        <v>13773.58</v>
      </c>
    </row>
    <row r="25" spans="1:4" ht="27" thickBot="1">
      <c r="A25" s="67" t="s">
        <v>658</v>
      </c>
      <c r="B25" s="64" t="s">
        <v>657</v>
      </c>
      <c r="C25" s="45"/>
      <c r="D25" s="208">
        <v>2713.73</v>
      </c>
    </row>
    <row r="26" spans="1:4" ht="15.75" thickBot="1">
      <c r="A26" s="147" t="s">
        <v>685</v>
      </c>
      <c r="B26" s="184" t="s">
        <v>817</v>
      </c>
      <c r="C26" s="185">
        <f>'[1]Лен. 125'!$L$2</f>
        <v>1256.3</v>
      </c>
      <c r="D26" s="209">
        <v>2514.83</v>
      </c>
    </row>
    <row r="27" spans="1:4" ht="20.25" thickBot="1">
      <c r="A27" s="269" t="s">
        <v>760</v>
      </c>
      <c r="B27" s="184"/>
      <c r="C27" s="265"/>
      <c r="D27" s="231">
        <f>D33</f>
        <v>9867.51</v>
      </c>
    </row>
    <row r="28" spans="1:4" ht="24.75" thickBot="1">
      <c r="A28" s="151" t="s">
        <v>1011</v>
      </c>
      <c r="B28" s="15" t="s">
        <v>920</v>
      </c>
      <c r="C28" s="49" t="s">
        <v>673</v>
      </c>
      <c r="D28" s="176" t="s">
        <v>793</v>
      </c>
    </row>
    <row r="29" spans="1:4" ht="14.25">
      <c r="A29" s="132" t="s">
        <v>883</v>
      </c>
      <c r="B29" s="74" t="s">
        <v>661</v>
      </c>
      <c r="C29" s="153"/>
      <c r="D29" s="179">
        <v>1909.78</v>
      </c>
    </row>
    <row r="30" spans="1:4" ht="15">
      <c r="A30" s="151" t="s">
        <v>1012</v>
      </c>
      <c r="B30" s="118"/>
      <c r="C30" s="152"/>
      <c r="D30" s="220"/>
    </row>
    <row r="31" spans="1:4" ht="14.25">
      <c r="A31" s="159" t="s">
        <v>998</v>
      </c>
      <c r="B31" s="74" t="s">
        <v>661</v>
      </c>
      <c r="C31" s="152"/>
      <c r="D31" s="177">
        <v>7957.73</v>
      </c>
    </row>
    <row r="32" spans="1:4" ht="12.75" hidden="1">
      <c r="A32" s="13"/>
      <c r="B32" s="13"/>
      <c r="C32" s="13"/>
      <c r="D32" s="85"/>
    </row>
    <row r="33" spans="1:4" ht="12.75" hidden="1">
      <c r="A33" s="117" t="s">
        <v>1014</v>
      </c>
      <c r="B33" s="13"/>
      <c r="C33" s="13"/>
      <c r="D33" s="256">
        <f>D29+D31</f>
        <v>9867.51</v>
      </c>
    </row>
    <row r="34" spans="1:4" ht="12.75">
      <c r="A34" s="103"/>
      <c r="B34" s="11"/>
      <c r="C34" s="11"/>
      <c r="D34" s="207"/>
    </row>
    <row r="35" spans="1:4" ht="12.75">
      <c r="A35" s="103"/>
      <c r="B35" s="11"/>
      <c r="C35" s="11"/>
      <c r="D35" s="207"/>
    </row>
    <row r="36" spans="1:4" ht="12.75">
      <c r="A36" s="103"/>
      <c r="B36" s="11"/>
      <c r="C36" s="11"/>
      <c r="D36" s="207"/>
    </row>
    <row r="37" spans="1:4" ht="12.75">
      <c r="A37" s="103"/>
      <c r="B37" s="11"/>
      <c r="C37" s="11"/>
      <c r="D37" s="207"/>
    </row>
    <row r="38" spans="1:4" ht="12.75">
      <c r="A38" s="11"/>
      <c r="B38" s="11"/>
      <c r="C38" s="11"/>
      <c r="D38" s="207"/>
    </row>
    <row r="39" spans="1:4" ht="15.75">
      <c r="A39" s="6" t="s">
        <v>830</v>
      </c>
      <c r="B39" s="6" t="s">
        <v>889</v>
      </c>
      <c r="D39" s="254"/>
    </row>
    <row r="40" ht="15.75">
      <c r="A40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9448818897637796" bottom="0.7480314960629921" header="0.31496062992125984" footer="0.31496062992125984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99CC"/>
  </sheetPr>
  <dimension ref="A3:J8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18.75" customHeight="1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7.25" customHeight="1">
      <c r="A8" s="26"/>
      <c r="B8" s="26"/>
      <c r="C8"/>
    </row>
    <row r="9" spans="1:4" ht="15">
      <c r="A9" s="1343" t="s">
        <v>809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20"/>
      <c r="C11" s="1440" t="s">
        <v>643</v>
      </c>
      <c r="D11" s="442" t="s">
        <v>649</v>
      </c>
    </row>
    <row r="12" spans="1:4" ht="12.75" customHeight="1">
      <c r="A12" s="1420"/>
      <c r="B12" s="1405"/>
      <c r="C12" s="1441"/>
      <c r="D12" s="558" t="s">
        <v>1022</v>
      </c>
    </row>
    <row r="13" spans="1:4" ht="12.75" customHeight="1">
      <c r="A13" s="1420"/>
      <c r="B13" s="1405"/>
      <c r="C13" s="1441"/>
      <c r="D13" s="558" t="s">
        <v>645</v>
      </c>
    </row>
    <row r="14" spans="1:4" ht="12.75" customHeight="1">
      <c r="A14" s="1420"/>
      <c r="B14" s="1405"/>
      <c r="C14" s="556" t="s">
        <v>562</v>
      </c>
      <c r="D14" s="559"/>
    </row>
    <row r="15" spans="1:4" ht="15">
      <c r="A15" s="372" t="s">
        <v>347</v>
      </c>
      <c r="B15" s="472"/>
      <c r="C15" s="576">
        <v>51048.51</v>
      </c>
      <c r="D15" s="577">
        <v>13376.4</v>
      </c>
    </row>
    <row r="16" spans="1:4" ht="14.25">
      <c r="A16" s="471" t="s">
        <v>486</v>
      </c>
      <c r="B16" s="473"/>
      <c r="C16" s="497">
        <v>278935.12</v>
      </c>
      <c r="D16" s="466">
        <v>47502.5</v>
      </c>
    </row>
    <row r="17" spans="1:4" ht="14.25">
      <c r="A17" s="470" t="s">
        <v>647</v>
      </c>
      <c r="B17" s="474"/>
      <c r="C17" s="586">
        <v>242863.47</v>
      </c>
      <c r="D17" s="587">
        <v>48387.11</v>
      </c>
    </row>
    <row r="18" spans="1:7" ht="15">
      <c r="A18" s="475" t="s">
        <v>348</v>
      </c>
      <c r="B18" s="476"/>
      <c r="C18" s="589">
        <f>C15+C16-C17</f>
        <v>87120.16</v>
      </c>
      <c r="D18" s="589">
        <f>D15+D16-D17</f>
        <v>12491.79</v>
      </c>
      <c r="G18" s="111"/>
    </row>
    <row r="19" spans="1:4" ht="14.25">
      <c r="A19" s="470" t="s">
        <v>539</v>
      </c>
      <c r="B19" s="474"/>
      <c r="C19" s="589">
        <v>213324.62</v>
      </c>
      <c r="D19" s="494"/>
    </row>
    <row r="20" spans="1:4" ht="12.75">
      <c r="A20" s="82"/>
      <c r="B20" s="83"/>
      <c r="C20" s="83"/>
      <c r="D20" s="83"/>
    </row>
    <row r="21" spans="2:4" ht="12.75">
      <c r="B21" s="83"/>
      <c r="C21" s="81"/>
      <c r="D21" s="314"/>
    </row>
    <row r="22" spans="1:4" ht="15.75">
      <c r="A22" s="1340" t="s">
        <v>650</v>
      </c>
      <c r="B22" s="1340"/>
      <c r="C22" s="1340"/>
      <c r="D22" s="1340"/>
    </row>
    <row r="23" spans="1:4" ht="15.75">
      <c r="A23" s="1340" t="s">
        <v>346</v>
      </c>
      <c r="B23" s="1340"/>
      <c r="C23" s="1340"/>
      <c r="D23" s="1340"/>
    </row>
    <row r="24" spans="1:4" ht="12.75">
      <c r="A24" s="82"/>
      <c r="B24" s="82"/>
      <c r="C24" s="103"/>
      <c r="D24" s="82"/>
    </row>
    <row r="25" spans="1:4" ht="26.25" thickBot="1">
      <c r="A25" s="501" t="s">
        <v>892</v>
      </c>
      <c r="B25" s="502" t="s">
        <v>667</v>
      </c>
      <c r="C25" s="499" t="s">
        <v>673</v>
      </c>
      <c r="D25" s="503" t="s">
        <v>793</v>
      </c>
    </row>
    <row r="26" spans="1:4" ht="16.5" thickBot="1">
      <c r="A26" s="477" t="s">
        <v>913</v>
      </c>
      <c r="B26" s="504"/>
      <c r="C26" s="456"/>
      <c r="D26" s="676"/>
    </row>
    <row r="27" spans="1:4" ht="26.25">
      <c r="A27" s="678" t="s">
        <v>105</v>
      </c>
      <c r="B27" s="517" t="s">
        <v>652</v>
      </c>
      <c r="C27" s="500"/>
      <c r="D27" s="518">
        <v>52211.9</v>
      </c>
    </row>
    <row r="28" spans="1:4" ht="15">
      <c r="A28" s="389" t="s">
        <v>654</v>
      </c>
      <c r="B28" s="398" t="s">
        <v>656</v>
      </c>
      <c r="C28" s="398" t="s">
        <v>801</v>
      </c>
      <c r="D28" s="509">
        <v>30590.05</v>
      </c>
    </row>
    <row r="29" spans="1:4" ht="24.75">
      <c r="A29" s="540" t="s">
        <v>14</v>
      </c>
      <c r="B29" s="397" t="s">
        <v>657</v>
      </c>
      <c r="C29" s="506"/>
      <c r="D29" s="507">
        <v>38241.53</v>
      </c>
    </row>
    <row r="30" spans="1:4" ht="15">
      <c r="A30" s="389" t="s">
        <v>508</v>
      </c>
      <c r="B30" s="399"/>
      <c r="C30" s="508"/>
      <c r="D30" s="393">
        <v>18085.83</v>
      </c>
    </row>
    <row r="31" spans="1:4" ht="19.5" customHeight="1" thickBot="1">
      <c r="A31" s="390" t="s">
        <v>395</v>
      </c>
      <c r="B31" s="609" t="s">
        <v>661</v>
      </c>
      <c r="C31" s="610"/>
      <c r="D31" s="595">
        <v>4556.2</v>
      </c>
    </row>
    <row r="32" spans="1:4" ht="15.75" thickBot="1">
      <c r="A32" s="805" t="s">
        <v>701</v>
      </c>
      <c r="B32" s="980"/>
      <c r="C32" s="981"/>
      <c r="D32" s="839">
        <v>143685.51</v>
      </c>
    </row>
    <row r="33" spans="1:4" ht="15.75" thickBot="1">
      <c r="A33" s="487" t="s">
        <v>914</v>
      </c>
      <c r="B33" s="461"/>
      <c r="C33" s="462"/>
      <c r="D33" s="463"/>
    </row>
    <row r="34" spans="1:4" ht="24">
      <c r="A34" s="943" t="s">
        <v>194</v>
      </c>
      <c r="B34" s="514" t="s">
        <v>920</v>
      </c>
      <c r="C34" s="515" t="s">
        <v>673</v>
      </c>
      <c r="D34" s="516" t="s">
        <v>793</v>
      </c>
    </row>
    <row r="35" spans="1:10" ht="15">
      <c r="A35" s="377" t="s">
        <v>203</v>
      </c>
      <c r="B35" s="570"/>
      <c r="C35" s="571"/>
      <c r="D35" s="434">
        <v>6279.2</v>
      </c>
      <c r="J35" s="416"/>
    </row>
    <row r="36" spans="1:4" ht="15.75" thickBot="1">
      <c r="A36" s="390" t="s">
        <v>504</v>
      </c>
      <c r="B36" s="748"/>
      <c r="C36" s="674">
        <v>2</v>
      </c>
      <c r="D36" s="459">
        <v>1263.95</v>
      </c>
    </row>
    <row r="37" spans="1:4" ht="15.75" thickBot="1">
      <c r="A37" s="806" t="s">
        <v>701</v>
      </c>
      <c r="B37" s="811"/>
      <c r="C37" s="1013"/>
      <c r="D37" s="858">
        <v>7543.15</v>
      </c>
    </row>
    <row r="38" spans="1:4" ht="14.25">
      <c r="A38" s="465" t="s">
        <v>359</v>
      </c>
      <c r="B38" s="800"/>
      <c r="C38" s="377"/>
      <c r="D38" s="377"/>
    </row>
    <row r="39" spans="1:4" ht="15" thickBot="1">
      <c r="A39" s="799" t="s">
        <v>197</v>
      </c>
      <c r="B39" s="1137"/>
      <c r="C39" s="807">
        <v>1</v>
      </c>
      <c r="D39" s="1218">
        <v>394.86</v>
      </c>
    </row>
    <row r="40" spans="1:4" ht="15.75" thickBot="1">
      <c r="A40" s="806" t="s">
        <v>701</v>
      </c>
      <c r="B40" s="1178"/>
      <c r="C40" s="1013"/>
      <c r="D40" s="1222">
        <v>394.86</v>
      </c>
    </row>
    <row r="41" spans="1:4" ht="15">
      <c r="A41" s="808" t="s">
        <v>505</v>
      </c>
      <c r="B41" s="800"/>
      <c r="C41" s="377"/>
      <c r="D41" s="1221"/>
    </row>
    <row r="42" spans="1:4" ht="15" thickBot="1">
      <c r="A42" s="799" t="s">
        <v>393</v>
      </c>
      <c r="B42" s="1137"/>
      <c r="C42" s="807">
        <v>1</v>
      </c>
      <c r="D42" s="1218">
        <v>457.47</v>
      </c>
    </row>
    <row r="43" spans="1:4" ht="15.75" thickBot="1">
      <c r="A43" s="806" t="s">
        <v>701</v>
      </c>
      <c r="B43" s="1178"/>
      <c r="C43" s="1013"/>
      <c r="D43" s="1222">
        <v>457.47</v>
      </c>
    </row>
    <row r="44" spans="1:4" ht="15">
      <c r="A44" s="808" t="s">
        <v>361</v>
      </c>
      <c r="B44" s="800"/>
      <c r="C44" s="377"/>
      <c r="D44" s="1221"/>
    </row>
    <row r="45" spans="1:4" ht="14.25">
      <c r="A45" s="377" t="s">
        <v>479</v>
      </c>
      <c r="B45" s="756" t="s">
        <v>372</v>
      </c>
      <c r="C45" s="359">
        <v>3</v>
      </c>
      <c r="D45" s="1218">
        <v>1719.48</v>
      </c>
    </row>
    <row r="46" spans="1:4" ht="14.25">
      <c r="A46" s="377" t="s">
        <v>82</v>
      </c>
      <c r="B46" s="756" t="s">
        <v>506</v>
      </c>
      <c r="C46" s="359">
        <v>0.29</v>
      </c>
      <c r="D46" s="1218">
        <v>130.02</v>
      </c>
    </row>
    <row r="47" spans="1:4" ht="15" thickBot="1">
      <c r="A47" s="799" t="s">
        <v>507</v>
      </c>
      <c r="B47" s="1137"/>
      <c r="C47" s="807">
        <v>2</v>
      </c>
      <c r="D47" s="1218">
        <v>857.15</v>
      </c>
    </row>
    <row r="48" spans="1:4" ht="15.75" thickBot="1">
      <c r="A48" s="806" t="s">
        <v>701</v>
      </c>
      <c r="B48" s="1178"/>
      <c r="C48" s="1013"/>
      <c r="D48" s="1222">
        <v>2706.65</v>
      </c>
    </row>
    <row r="49" spans="1:4" ht="15">
      <c r="A49" s="808" t="s">
        <v>781</v>
      </c>
      <c r="B49" s="570"/>
      <c r="C49" s="385"/>
      <c r="D49" s="810"/>
    </row>
    <row r="50" spans="1:4" ht="15">
      <c r="A50" s="359" t="s">
        <v>886</v>
      </c>
      <c r="B50" s="365" t="s">
        <v>478</v>
      </c>
      <c r="C50" s="363">
        <v>4</v>
      </c>
      <c r="D50" s="424">
        <v>1919.77</v>
      </c>
    </row>
    <row r="51" spans="1:4" ht="15">
      <c r="A51" s="359" t="s">
        <v>415</v>
      </c>
      <c r="B51" s="365" t="s">
        <v>372</v>
      </c>
      <c r="C51" s="369">
        <v>1</v>
      </c>
      <c r="D51" s="541">
        <v>114.51</v>
      </c>
    </row>
    <row r="52" spans="1:4" ht="15.75" thickBot="1">
      <c r="A52" s="807" t="s">
        <v>692</v>
      </c>
      <c r="B52" s="758" t="s">
        <v>328</v>
      </c>
      <c r="C52" s="519">
        <v>2</v>
      </c>
      <c r="D52" s="541">
        <v>749.38</v>
      </c>
    </row>
    <row r="53" spans="1:4" ht="15.75" thickBot="1">
      <c r="A53" s="806" t="s">
        <v>701</v>
      </c>
      <c r="B53" s="811"/>
      <c r="C53" s="1023"/>
      <c r="D53" s="858">
        <v>2783.66</v>
      </c>
    </row>
    <row r="54" spans="1:4" ht="15.75" thickBot="1">
      <c r="A54" s="1053"/>
      <c r="B54" s="834"/>
      <c r="C54" s="799"/>
      <c r="D54" s="835"/>
    </row>
    <row r="55" spans="1:4" ht="15.75" thickBot="1">
      <c r="A55" s="806" t="s">
        <v>282</v>
      </c>
      <c r="B55" s="811"/>
      <c r="C55" s="1013"/>
      <c r="D55" s="858">
        <v>13885.79</v>
      </c>
    </row>
    <row r="56" spans="1:4" ht="15">
      <c r="A56" s="377"/>
      <c r="B56" s="570"/>
      <c r="C56" s="377"/>
      <c r="D56" s="598"/>
    </row>
    <row r="57" spans="1:4" ht="15">
      <c r="A57" s="944" t="s">
        <v>743</v>
      </c>
      <c r="B57" s="365"/>
      <c r="C57" s="369"/>
      <c r="D57" s="869">
        <v>11327.29</v>
      </c>
    </row>
    <row r="58" spans="1:4" ht="15">
      <c r="A58" s="944" t="s">
        <v>904</v>
      </c>
      <c r="B58" s="365"/>
      <c r="C58" s="369"/>
      <c r="D58" s="428">
        <v>5028</v>
      </c>
    </row>
    <row r="59" spans="1:4" ht="15">
      <c r="A59" s="944" t="s">
        <v>735</v>
      </c>
      <c r="B59" s="365"/>
      <c r="C59" s="369"/>
      <c r="D59" s="428">
        <v>39398.03</v>
      </c>
    </row>
    <row r="60" spans="1:4" ht="15" thickBot="1">
      <c r="A60" s="1219"/>
      <c r="B60" s="1065"/>
      <c r="C60" s="519"/>
      <c r="D60" s="1077"/>
    </row>
    <row r="61" spans="1:4" ht="15.75" thickBot="1">
      <c r="A61" s="806" t="s">
        <v>918</v>
      </c>
      <c r="B61" s="811"/>
      <c r="C61" s="1220"/>
      <c r="D61" s="858">
        <v>213324.62</v>
      </c>
    </row>
    <row r="62" spans="1:4" ht="15">
      <c r="A62" s="572"/>
      <c r="B62" s="440"/>
      <c r="C62" s="531"/>
      <c r="D62" s="573"/>
    </row>
    <row r="63" spans="1:4" ht="15">
      <c r="A63" s="572"/>
      <c r="B63" s="440"/>
      <c r="C63" s="531"/>
      <c r="D63" s="573"/>
    </row>
    <row r="64" spans="1:4" ht="15.75" thickBot="1">
      <c r="A64" s="944"/>
      <c r="B64" s="944"/>
      <c r="C64" s="970"/>
      <c r="D64" s="1273"/>
    </row>
    <row r="65" spans="1:4" ht="15">
      <c r="A65" s="944"/>
      <c r="B65" s="1151"/>
      <c r="C65" s="1275" t="s">
        <v>31</v>
      </c>
      <c r="D65" s="1276" t="s">
        <v>32</v>
      </c>
    </row>
    <row r="66" spans="1:4" ht="15.75" thickBot="1">
      <c r="A66" s="944"/>
      <c r="B66" s="1151"/>
      <c r="C66" s="1269" t="s">
        <v>352</v>
      </c>
      <c r="D66" s="1277" t="s">
        <v>1022</v>
      </c>
    </row>
    <row r="67" spans="1:4" ht="14.25">
      <c r="A67" s="764"/>
      <c r="B67" s="358"/>
      <c r="C67" s="377"/>
      <c r="D67" s="1274"/>
    </row>
    <row r="68" spans="1:4" ht="15">
      <c r="A68" s="1251" t="s">
        <v>568</v>
      </c>
      <c r="B68" s="1257"/>
      <c r="C68" s="467">
        <v>0</v>
      </c>
      <c r="D68" s="467">
        <v>195495.49</v>
      </c>
    </row>
    <row r="69" spans="1:4" ht="15">
      <c r="A69" s="1332" t="s">
        <v>569</v>
      </c>
      <c r="B69" s="1332"/>
      <c r="C69" s="628">
        <v>242863.47</v>
      </c>
      <c r="D69" s="608">
        <v>48387.11</v>
      </c>
    </row>
    <row r="70" spans="1:4" ht="15">
      <c r="A70" s="1332" t="s">
        <v>570</v>
      </c>
      <c r="B70" s="1332"/>
      <c r="C70" s="607">
        <v>213324.62</v>
      </c>
      <c r="D70" s="608">
        <v>90823</v>
      </c>
    </row>
    <row r="71" spans="1:4" ht="15">
      <c r="A71" s="1333" t="s">
        <v>571</v>
      </c>
      <c r="B71" s="1333"/>
      <c r="C71" s="629">
        <v>-29538.85</v>
      </c>
      <c r="D71" s="629">
        <v>-153059.6</v>
      </c>
    </row>
    <row r="72" spans="1:4" ht="15">
      <c r="A72" s="1332" t="s">
        <v>179</v>
      </c>
      <c r="B72" s="1332"/>
      <c r="C72" s="1258">
        <v>-29538.85</v>
      </c>
      <c r="D72" s="630">
        <v>-153059.6</v>
      </c>
    </row>
    <row r="73" spans="1:4" ht="15">
      <c r="A73" s="538"/>
      <c r="B73" s="538"/>
      <c r="C73" s="1259"/>
      <c r="D73" s="1260"/>
    </row>
    <row r="74" spans="1:4" ht="15">
      <c r="A74" s="538"/>
      <c r="B74" s="538"/>
      <c r="C74" s="1259"/>
      <c r="D74" s="1260"/>
    </row>
    <row r="75" spans="1:4" ht="15">
      <c r="A75" s="538"/>
      <c r="B75" s="538"/>
      <c r="C75" s="1259"/>
      <c r="D75" s="1260"/>
    </row>
    <row r="76" spans="1:4" ht="15">
      <c r="A76" s="538" t="s">
        <v>180</v>
      </c>
      <c r="B76" s="538"/>
      <c r="C76" s="1259" t="s">
        <v>573</v>
      </c>
      <c r="D76" s="1260"/>
    </row>
    <row r="77" spans="1:4" ht="15">
      <c r="A77" s="538"/>
      <c r="B77" s="538"/>
      <c r="C77" s="1259"/>
      <c r="D77" s="1260"/>
    </row>
    <row r="78" ht="12.75">
      <c r="A78" s="735" t="s">
        <v>357</v>
      </c>
    </row>
    <row r="79" ht="12.75">
      <c r="A79" s="735" t="s">
        <v>906</v>
      </c>
    </row>
    <row r="80" ht="12.75">
      <c r="A80" s="735" t="s">
        <v>358</v>
      </c>
    </row>
  </sheetData>
  <sheetProtection/>
  <mergeCells count="13">
    <mergeCell ref="A4:B4"/>
    <mergeCell ref="A5:B5"/>
    <mergeCell ref="A23:D23"/>
    <mergeCell ref="A6:B6"/>
    <mergeCell ref="A7:B7"/>
    <mergeCell ref="A9:B9"/>
    <mergeCell ref="A11:B14"/>
    <mergeCell ref="C11:C13"/>
    <mergeCell ref="A22:D22"/>
    <mergeCell ref="A69:B69"/>
    <mergeCell ref="A70:B70"/>
    <mergeCell ref="A71:B71"/>
    <mergeCell ref="A72:B72"/>
  </mergeCells>
  <printOptions/>
  <pageMargins left="0.1968503937007874" right="0" top="0.7874015748031497" bottom="0.7874015748031497" header="0.31496062992125984" footer="0.31496062992125984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6384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2.1406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869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132996.46+602.66</f>
        <v>133599.12</v>
      </c>
      <c r="E11" s="25">
        <v>25445.88</v>
      </c>
    </row>
    <row r="12" spans="2:5" ht="16.5" thickBot="1">
      <c r="B12" s="1398" t="s">
        <v>646</v>
      </c>
      <c r="C12" s="1399"/>
      <c r="D12" s="25">
        <f>1204215.54+3437.96</f>
        <v>1207653.5</v>
      </c>
      <c r="E12" s="25">
        <v>59959.89</v>
      </c>
    </row>
    <row r="13" spans="2:5" ht="16.5" thickBot="1">
      <c r="B13" s="1398" t="s">
        <v>647</v>
      </c>
      <c r="C13" s="1399"/>
      <c r="D13" s="25">
        <f>1166529.06+3808.26</f>
        <v>1170337.32</v>
      </c>
      <c r="E13" s="25">
        <v>82561.48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32096.64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170915.30000000005</v>
      </c>
      <c r="E17" s="25">
        <f>E11+E12-E13</f>
        <v>2844.290000000008</v>
      </c>
    </row>
    <row r="18" spans="2:5" ht="16.5" thickBot="1">
      <c r="B18" s="1398" t="s">
        <v>832</v>
      </c>
      <c r="C18" s="1399"/>
      <c r="D18" s="75">
        <f>E25+E48</f>
        <v>951195.0800000001</v>
      </c>
      <c r="E18" s="73">
        <v>18898.4</v>
      </c>
    </row>
    <row r="19" spans="3:4" ht="12.75">
      <c r="C19" s="83"/>
      <c r="D19" s="81"/>
    </row>
    <row r="20" spans="3:4" ht="12.75">
      <c r="C20" s="83"/>
      <c r="D20" s="81"/>
    </row>
    <row r="21" spans="2:5" ht="18.75">
      <c r="B21" s="1397" t="s">
        <v>650</v>
      </c>
      <c r="C21" s="1397"/>
      <c r="D21" s="1397"/>
      <c r="E21" s="1397"/>
    </row>
    <row r="22" spans="2:5" ht="18.75">
      <c r="B22" s="1397" t="s">
        <v>1009</v>
      </c>
      <c r="C22" s="1397"/>
      <c r="D22" s="1397"/>
      <c r="E22" s="1397"/>
    </row>
    <row r="23" ht="13.5" thickBot="1">
      <c r="D23" s="11"/>
    </row>
    <row r="24" spans="1:5" ht="48" thickBot="1">
      <c r="A24" s="9"/>
      <c r="B24" s="34" t="s">
        <v>651</v>
      </c>
      <c r="C24" s="60" t="s">
        <v>667</v>
      </c>
      <c r="D24" s="59" t="s">
        <v>673</v>
      </c>
      <c r="E24" s="63" t="s">
        <v>793</v>
      </c>
    </row>
    <row r="25" spans="1:5" ht="20.25" thickBot="1">
      <c r="A25" s="9"/>
      <c r="B25" s="35" t="s">
        <v>761</v>
      </c>
      <c r="C25" s="61"/>
      <c r="D25" s="10"/>
      <c r="E25" s="62">
        <f>E26+E32+E34+E35+E36+E46</f>
        <v>794473.2400000001</v>
      </c>
    </row>
    <row r="26" spans="1:5" ht="32.25" thickBot="1">
      <c r="A26" s="11"/>
      <c r="B26" s="67" t="s">
        <v>662</v>
      </c>
      <c r="C26" s="64" t="s">
        <v>652</v>
      </c>
      <c r="D26" s="43"/>
      <c r="E26" s="230">
        <v>334506.37</v>
      </c>
    </row>
    <row r="27" spans="2:5" ht="32.25" hidden="1" thickBot="1">
      <c r="B27" s="67" t="s">
        <v>686</v>
      </c>
      <c r="C27" s="65" t="s">
        <v>661</v>
      </c>
      <c r="D27" s="44"/>
      <c r="E27" s="174"/>
    </row>
    <row r="28" spans="2:5" ht="16.5" hidden="1" thickBot="1">
      <c r="B28" s="67" t="s">
        <v>765</v>
      </c>
      <c r="C28" s="65" t="s">
        <v>661</v>
      </c>
      <c r="D28" s="44"/>
      <c r="E28" s="174"/>
    </row>
    <row r="29" spans="2:5" ht="39.75" hidden="1" thickBot="1">
      <c r="B29" s="67" t="s">
        <v>655</v>
      </c>
      <c r="C29" s="64" t="s">
        <v>653</v>
      </c>
      <c r="D29" s="45"/>
      <c r="E29" s="237"/>
    </row>
    <row r="30" spans="2:5" ht="48" hidden="1" thickBot="1">
      <c r="B30" s="67" t="s">
        <v>796</v>
      </c>
      <c r="C30" s="65" t="s">
        <v>661</v>
      </c>
      <c r="D30" s="44"/>
      <c r="E30" s="174"/>
    </row>
    <row r="31" spans="2:5" ht="48" hidden="1" thickBot="1">
      <c r="B31" s="67" t="s">
        <v>797</v>
      </c>
      <c r="C31" s="65" t="s">
        <v>661</v>
      </c>
      <c r="D31" s="44"/>
      <c r="E31" s="174"/>
    </row>
    <row r="32" spans="2:5" ht="16.5" thickBot="1">
      <c r="B32" s="67" t="s">
        <v>654</v>
      </c>
      <c r="C32" s="48" t="s">
        <v>656</v>
      </c>
      <c r="D32" s="43" t="s">
        <v>801</v>
      </c>
      <c r="E32" s="230">
        <v>184807.15</v>
      </c>
    </row>
    <row r="33" spans="2:5" ht="32.25" hidden="1" thickBot="1">
      <c r="B33" s="67" t="s">
        <v>798</v>
      </c>
      <c r="C33" s="65" t="s">
        <v>661</v>
      </c>
      <c r="D33" s="47" t="s">
        <v>822</v>
      </c>
      <c r="E33" s="174"/>
    </row>
    <row r="34" spans="2:5" ht="27" thickBot="1">
      <c r="B34" s="67" t="s">
        <v>658</v>
      </c>
      <c r="C34" s="64" t="s">
        <v>657</v>
      </c>
      <c r="D34" s="43"/>
      <c r="E34" s="230">
        <v>185751.31</v>
      </c>
    </row>
    <row r="35" spans="2:5" ht="16.5" thickBot="1">
      <c r="B35" s="133" t="s">
        <v>799</v>
      </c>
      <c r="C35" s="64" t="s">
        <v>661</v>
      </c>
      <c r="D35" s="43"/>
      <c r="E35" s="230">
        <v>51264.76</v>
      </c>
    </row>
    <row r="36" spans="2:5" ht="16.5" thickBot="1">
      <c r="B36" s="67" t="s">
        <v>879</v>
      </c>
      <c r="C36" s="64" t="s">
        <v>661</v>
      </c>
      <c r="D36" s="43"/>
      <c r="E36" s="230">
        <v>9.03</v>
      </c>
    </row>
    <row r="37" spans="2:5" ht="32.25" hidden="1" thickBot="1">
      <c r="B37" s="68" t="s">
        <v>758</v>
      </c>
      <c r="C37" s="64" t="s">
        <v>665</v>
      </c>
      <c r="D37" s="43"/>
      <c r="E37" s="238"/>
    </row>
    <row r="38" spans="2:5" ht="32.25" hidden="1" thickBot="1">
      <c r="B38" s="67" t="s">
        <v>664</v>
      </c>
      <c r="C38" s="65" t="s">
        <v>661</v>
      </c>
      <c r="D38" s="44"/>
      <c r="E38" s="174"/>
    </row>
    <row r="39" spans="2:5" ht="32.25" hidden="1" thickBot="1">
      <c r="B39" s="67" t="s">
        <v>671</v>
      </c>
      <c r="C39" s="65" t="s">
        <v>661</v>
      </c>
      <c r="D39" s="72"/>
      <c r="E39" s="239"/>
    </row>
    <row r="40" spans="2:5" ht="94.5" hidden="1" thickBot="1">
      <c r="B40" s="36" t="s">
        <v>790</v>
      </c>
      <c r="C40" s="65" t="s">
        <v>661</v>
      </c>
      <c r="D40" s="44"/>
      <c r="E40" s="174"/>
    </row>
    <row r="41" spans="2:5" ht="63.75" hidden="1" thickBot="1">
      <c r="B41" s="67" t="s">
        <v>767</v>
      </c>
      <c r="C41" s="64" t="s">
        <v>766</v>
      </c>
      <c r="D41" s="43"/>
      <c r="E41" s="238"/>
    </row>
    <row r="42" spans="2:5" ht="32.25" hidden="1" thickBot="1">
      <c r="B42" s="67" t="s">
        <v>668</v>
      </c>
      <c r="C42" s="65" t="s">
        <v>661</v>
      </c>
      <c r="D42" s="44"/>
      <c r="E42" s="174"/>
    </row>
    <row r="43" spans="2:5" ht="16.5" hidden="1" thickBot="1">
      <c r="B43" s="67" t="s">
        <v>799</v>
      </c>
      <c r="C43" s="65" t="s">
        <v>661</v>
      </c>
      <c r="D43" s="44"/>
      <c r="E43" s="174"/>
    </row>
    <row r="44" spans="2:5" ht="52.5" hidden="1" thickBot="1">
      <c r="B44" s="67" t="s">
        <v>670</v>
      </c>
      <c r="C44" s="64" t="s">
        <v>684</v>
      </c>
      <c r="D44" s="46"/>
      <c r="E44" s="240"/>
    </row>
    <row r="45" spans="2:5" ht="63.75" hidden="1" thickBot="1">
      <c r="B45" s="68" t="s">
        <v>800</v>
      </c>
      <c r="C45" s="65" t="s">
        <v>661</v>
      </c>
      <c r="D45" s="44"/>
      <c r="E45" s="251"/>
    </row>
    <row r="46" spans="2:5" ht="16.5" thickBot="1">
      <c r="B46" s="69" t="s">
        <v>685</v>
      </c>
      <c r="C46" s="212" t="s">
        <v>817</v>
      </c>
      <c r="D46" s="43" t="s">
        <v>801</v>
      </c>
      <c r="E46" s="231">
        <v>38134.62</v>
      </c>
    </row>
    <row r="47" spans="2:5" ht="32.25" hidden="1" thickBot="1">
      <c r="B47" s="70" t="s">
        <v>802</v>
      </c>
      <c r="C47" s="47"/>
      <c r="D47" s="44"/>
      <c r="E47" s="252"/>
    </row>
    <row r="48" spans="2:5" ht="20.25" thickBot="1">
      <c r="B48" s="14" t="s">
        <v>760</v>
      </c>
      <c r="C48" s="17"/>
      <c r="E48" s="261">
        <f>E60</f>
        <v>156721.84</v>
      </c>
    </row>
    <row r="49" spans="2:5" ht="24.75" thickBot="1">
      <c r="B49" s="150" t="s">
        <v>672</v>
      </c>
      <c r="C49" s="15" t="s">
        <v>920</v>
      </c>
      <c r="D49" s="49" t="s">
        <v>673</v>
      </c>
      <c r="E49" s="176" t="s">
        <v>793</v>
      </c>
    </row>
    <row r="50" spans="2:5" ht="15.75">
      <c r="B50" s="217" t="s">
        <v>816</v>
      </c>
      <c r="C50" s="255" t="s">
        <v>661</v>
      </c>
      <c r="D50" s="149"/>
      <c r="E50" s="266">
        <v>3826.31</v>
      </c>
    </row>
    <row r="51" spans="2:5" ht="15.75">
      <c r="B51" s="188" t="s">
        <v>997</v>
      </c>
      <c r="C51" s="255" t="s">
        <v>661</v>
      </c>
      <c r="D51" s="154"/>
      <c r="E51" s="266">
        <f>30759.64+1811.94</f>
        <v>32571.579999999998</v>
      </c>
    </row>
    <row r="52" spans="2:5" ht="14.25">
      <c r="B52" s="151" t="s">
        <v>676</v>
      </c>
      <c r="C52" s="116"/>
      <c r="D52" s="153"/>
      <c r="E52" s="177"/>
    </row>
    <row r="53" spans="2:5" ht="14.25">
      <c r="B53" s="132" t="s">
        <v>883</v>
      </c>
      <c r="C53" s="74" t="s">
        <v>661</v>
      </c>
      <c r="D53" s="153"/>
      <c r="E53" s="179">
        <f>6369.19+48863.65+1415.08+5745.18</f>
        <v>62393.100000000006</v>
      </c>
    </row>
    <row r="54" spans="2:5" ht="14.25">
      <c r="B54" s="157" t="s">
        <v>880</v>
      </c>
      <c r="C54" s="74" t="s">
        <v>661</v>
      </c>
      <c r="D54" s="152"/>
      <c r="E54" s="177">
        <v>17603.09</v>
      </c>
    </row>
    <row r="55" spans="2:5" ht="14.25">
      <c r="B55" s="157" t="s">
        <v>925</v>
      </c>
      <c r="C55" s="74" t="s">
        <v>661</v>
      </c>
      <c r="D55" s="152"/>
      <c r="E55" s="177">
        <v>13050.47</v>
      </c>
    </row>
    <row r="56" spans="2:5" ht="15">
      <c r="B56" s="151" t="s">
        <v>1025</v>
      </c>
      <c r="C56" s="118"/>
      <c r="D56" s="152"/>
      <c r="E56" s="220"/>
    </row>
    <row r="57" spans="2:5" ht="14.25">
      <c r="B57" s="159" t="s">
        <v>998</v>
      </c>
      <c r="C57" s="74" t="s">
        <v>661</v>
      </c>
      <c r="D57" s="152"/>
      <c r="E57" s="177">
        <v>24726.29</v>
      </c>
    </row>
    <row r="58" spans="2:5" ht="15">
      <c r="B58" s="159" t="s">
        <v>929</v>
      </c>
      <c r="C58" s="74" t="s">
        <v>661</v>
      </c>
      <c r="D58" s="13"/>
      <c r="E58" s="268">
        <v>2551</v>
      </c>
    </row>
    <row r="59" spans="2:5" ht="12.75" hidden="1">
      <c r="B59" s="13"/>
      <c r="C59" s="13"/>
      <c r="D59" s="13"/>
      <c r="E59" s="85"/>
    </row>
    <row r="60" spans="2:5" ht="12.75" hidden="1">
      <c r="B60" s="117" t="s">
        <v>1014</v>
      </c>
      <c r="C60" s="13"/>
      <c r="D60" s="13"/>
      <c r="E60" s="256">
        <f>E50+E53+E54+E57+E58+E55+E51</f>
        <v>156721.84</v>
      </c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1"/>
      <c r="C65" s="11"/>
      <c r="D65" s="11"/>
      <c r="E65" s="207"/>
    </row>
    <row r="66" spans="2:5" ht="15.75">
      <c r="B66" s="6" t="s">
        <v>830</v>
      </c>
      <c r="C66" s="6" t="s">
        <v>889</v>
      </c>
      <c r="E66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2:E22"/>
    <mergeCell ref="B12:C12"/>
    <mergeCell ref="B13:C13"/>
    <mergeCell ref="B14:C14"/>
    <mergeCell ref="B17:C17"/>
    <mergeCell ref="B18:C18"/>
    <mergeCell ref="B21:E21"/>
    <mergeCell ref="B15:C15"/>
    <mergeCell ref="B16:C16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99CC"/>
  </sheetPr>
  <dimension ref="A3:M8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8515625" style="1" customWidth="1"/>
    <col min="3" max="3" width="13.57421875" style="1" customWidth="1"/>
    <col min="4" max="4" width="14.7109375" style="1" customWidth="1"/>
    <col min="5" max="5" width="13.00390625" style="123" hidden="1" customWidth="1"/>
    <col min="6" max="6" width="9.8515625" style="123" hidden="1" customWidth="1"/>
    <col min="7" max="7" width="11.8515625" style="0" hidden="1" customWidth="1"/>
    <col min="8" max="8" width="9.57421875" style="0" bestFit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810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208044.79</v>
      </c>
      <c r="D13" s="1309"/>
    </row>
    <row r="14" spans="1:4" ht="14.25">
      <c r="A14" s="471" t="s">
        <v>486</v>
      </c>
      <c r="B14" s="473"/>
      <c r="C14" s="1375">
        <v>1025988.35</v>
      </c>
      <c r="D14" s="1376"/>
    </row>
    <row r="15" spans="1:4" ht="14.25">
      <c r="A15" s="470" t="s">
        <v>647</v>
      </c>
      <c r="B15" s="474"/>
      <c r="C15" s="1312">
        <v>1076827.67</v>
      </c>
      <c r="D15" s="1313"/>
    </row>
    <row r="16" spans="1:8" ht="15">
      <c r="A16" s="475" t="s">
        <v>348</v>
      </c>
      <c r="B16" s="476"/>
      <c r="C16" s="1377">
        <f>C13+C14-C15</f>
        <v>157205.46999999997</v>
      </c>
      <c r="D16" s="1378"/>
      <c r="H16" s="111"/>
    </row>
    <row r="17" spans="1:4" ht="14.25">
      <c r="A17" s="470" t="s">
        <v>539</v>
      </c>
      <c r="B17" s="474"/>
      <c r="C17" s="1407">
        <v>952342.05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37" t="s">
        <v>105</v>
      </c>
      <c r="B25" s="637" t="s">
        <v>652</v>
      </c>
      <c r="C25" s="536"/>
      <c r="D25" s="528">
        <v>232557.41</v>
      </c>
    </row>
    <row r="26" spans="1:4" ht="15.75" thickBot="1">
      <c r="A26" s="390" t="s">
        <v>654</v>
      </c>
      <c r="B26" s="398" t="s">
        <v>656</v>
      </c>
      <c r="C26" s="398" t="s">
        <v>801</v>
      </c>
      <c r="D26" s="509">
        <v>136251.38</v>
      </c>
    </row>
    <row r="27" spans="1:4" ht="25.5" thickBot="1">
      <c r="A27" s="1224" t="s">
        <v>14</v>
      </c>
      <c r="B27" s="450" t="s">
        <v>657</v>
      </c>
      <c r="C27" s="506"/>
      <c r="D27" s="507">
        <v>170331.87</v>
      </c>
    </row>
    <row r="28" spans="1:4" ht="18" customHeight="1">
      <c r="A28" s="389" t="s">
        <v>395</v>
      </c>
      <c r="B28" s="399"/>
      <c r="C28" s="508"/>
      <c r="D28" s="509">
        <v>36797.25</v>
      </c>
    </row>
    <row r="29" spans="1:4" ht="15.75" thickBot="1">
      <c r="A29" s="390" t="s">
        <v>799</v>
      </c>
      <c r="B29" s="673" t="s">
        <v>661</v>
      </c>
      <c r="C29" s="1173"/>
      <c r="D29" s="595">
        <v>18984.9</v>
      </c>
    </row>
    <row r="30" spans="1:4" ht="15.75" thickBot="1">
      <c r="A30" s="805" t="s">
        <v>701</v>
      </c>
      <c r="B30" s="980"/>
      <c r="C30" s="981"/>
      <c r="D30" s="839">
        <v>594922.81</v>
      </c>
    </row>
    <row r="31" spans="1:4" ht="15.75" thickBot="1">
      <c r="A31" s="487" t="s">
        <v>607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515" t="s">
        <v>673</v>
      </c>
      <c r="D32" s="516" t="s">
        <v>793</v>
      </c>
    </row>
    <row r="33" spans="1:4" ht="15">
      <c r="A33" s="383" t="s">
        <v>11</v>
      </c>
      <c r="B33" s="433" t="s">
        <v>817</v>
      </c>
      <c r="C33" s="515"/>
      <c r="D33" s="434">
        <v>39111.99</v>
      </c>
    </row>
    <row r="34" spans="1:4" ht="15">
      <c r="A34" s="843" t="s">
        <v>420</v>
      </c>
      <c r="B34" s="924"/>
      <c r="C34" s="432">
        <v>2</v>
      </c>
      <c r="D34" s="1064">
        <v>892.44</v>
      </c>
    </row>
    <row r="35" spans="1:4" ht="15.75" thickBot="1">
      <c r="A35" s="807" t="s">
        <v>510</v>
      </c>
      <c r="B35" s="410" t="s">
        <v>372</v>
      </c>
      <c r="C35" s="410">
        <v>1</v>
      </c>
      <c r="D35" s="1226">
        <v>269.66</v>
      </c>
    </row>
    <row r="36" spans="1:4" ht="15.75" thickBot="1">
      <c r="A36" s="806" t="s">
        <v>701</v>
      </c>
      <c r="B36" s="976"/>
      <c r="C36" s="1225"/>
      <c r="D36" s="932">
        <v>40274.09</v>
      </c>
    </row>
    <row r="37" spans="1:4" ht="14.25">
      <c r="A37" s="465" t="s">
        <v>500</v>
      </c>
      <c r="B37" s="376"/>
      <c r="C37" s="377"/>
      <c r="D37" s="377"/>
    </row>
    <row r="38" spans="1:4" ht="15">
      <c r="A38" s="377" t="s">
        <v>972</v>
      </c>
      <c r="B38" s="365"/>
      <c r="C38" s="359">
        <v>1</v>
      </c>
      <c r="D38" s="422">
        <v>26603</v>
      </c>
    </row>
    <row r="39" spans="1:4" ht="15">
      <c r="A39" s="377" t="s">
        <v>289</v>
      </c>
      <c r="B39" s="365" t="s">
        <v>52</v>
      </c>
      <c r="C39" s="359">
        <v>1</v>
      </c>
      <c r="D39" s="422">
        <v>5367.66</v>
      </c>
    </row>
    <row r="40" spans="1:4" ht="15">
      <c r="A40" s="359" t="s">
        <v>239</v>
      </c>
      <c r="B40" s="677" t="s">
        <v>478</v>
      </c>
      <c r="C40" s="363">
        <v>3</v>
      </c>
      <c r="D40" s="555">
        <v>4360.43</v>
      </c>
    </row>
    <row r="41" spans="1:4" ht="15">
      <c r="A41" s="359" t="s">
        <v>480</v>
      </c>
      <c r="B41" s="677" t="s">
        <v>478</v>
      </c>
      <c r="C41" s="363">
        <v>1</v>
      </c>
      <c r="D41" s="425">
        <v>3774.83</v>
      </c>
    </row>
    <row r="42" spans="1:4" ht="15.75" thickBot="1">
      <c r="A42" s="807" t="s">
        <v>393</v>
      </c>
      <c r="B42" s="934"/>
      <c r="C42" s="1014">
        <v>9</v>
      </c>
      <c r="D42" s="425">
        <v>4269.07</v>
      </c>
    </row>
    <row r="43" spans="1:4" ht="15.75" thickBot="1">
      <c r="A43" s="806" t="s">
        <v>701</v>
      </c>
      <c r="B43" s="825"/>
      <c r="C43" s="1017"/>
      <c r="D43" s="533">
        <v>44374.99</v>
      </c>
    </row>
    <row r="44" spans="1:4" ht="15">
      <c r="A44" s="808" t="s">
        <v>511</v>
      </c>
      <c r="B44" s="935"/>
      <c r="C44" s="385"/>
      <c r="D44" s="810"/>
    </row>
    <row r="45" spans="1:4" ht="15">
      <c r="A45" s="359" t="s">
        <v>512</v>
      </c>
      <c r="B45" s="677" t="s">
        <v>478</v>
      </c>
      <c r="C45" s="363">
        <v>2</v>
      </c>
      <c r="D45" s="424">
        <v>8160.8</v>
      </c>
    </row>
    <row r="46" spans="1:4" ht="15">
      <c r="A46" s="359" t="s">
        <v>513</v>
      </c>
      <c r="B46" s="365" t="s">
        <v>478</v>
      </c>
      <c r="C46" s="363">
        <v>2</v>
      </c>
      <c r="D46" s="425">
        <v>625.54</v>
      </c>
    </row>
    <row r="47" spans="1:4" ht="15">
      <c r="A47" s="359" t="s">
        <v>423</v>
      </c>
      <c r="B47" s="365" t="s">
        <v>478</v>
      </c>
      <c r="C47" s="359">
        <v>1</v>
      </c>
      <c r="D47" s="425">
        <v>580.1</v>
      </c>
    </row>
    <row r="48" spans="1:4" ht="15.75" thickBot="1">
      <c r="A48" s="807" t="s">
        <v>197</v>
      </c>
      <c r="B48" s="758"/>
      <c r="C48" s="807">
        <v>3</v>
      </c>
      <c r="D48" s="425">
        <v>1458.63</v>
      </c>
    </row>
    <row r="49" spans="1:4" ht="15.75" thickBot="1">
      <c r="A49" s="806" t="s">
        <v>701</v>
      </c>
      <c r="B49" s="811"/>
      <c r="C49" s="1013"/>
      <c r="D49" s="533">
        <v>10825.07</v>
      </c>
    </row>
    <row r="50" spans="1:7" ht="15">
      <c r="A50" s="201" t="s">
        <v>424</v>
      </c>
      <c r="B50" s="1081"/>
      <c r="C50" s="570"/>
      <c r="D50" s="377"/>
      <c r="E50" s="532"/>
      <c r="G50" s="123"/>
    </row>
    <row r="51" spans="1:7" ht="15.75" thickBot="1">
      <c r="A51" s="414" t="s">
        <v>695</v>
      </c>
      <c r="B51" s="880"/>
      <c r="C51" s="758">
        <v>1</v>
      </c>
      <c r="D51" s="807">
        <v>353.14</v>
      </c>
      <c r="E51" s="532"/>
      <c r="G51" s="123"/>
    </row>
    <row r="52" spans="1:7" ht="15.75" thickBot="1">
      <c r="A52" s="1113" t="s">
        <v>701</v>
      </c>
      <c r="B52" s="901"/>
      <c r="C52" s="875"/>
      <c r="D52" s="1227">
        <v>353.14</v>
      </c>
      <c r="E52" s="555"/>
      <c r="G52" s="123"/>
    </row>
    <row r="53" spans="1:7" ht="15">
      <c r="A53" s="201" t="s">
        <v>425</v>
      </c>
      <c r="B53" s="377"/>
      <c r="C53" s="570"/>
      <c r="D53" s="359"/>
      <c r="E53" s="810"/>
      <c r="G53" s="123"/>
    </row>
    <row r="54" spans="1:7" ht="15">
      <c r="A54" s="683" t="s">
        <v>212</v>
      </c>
      <c r="B54" s="377" t="s">
        <v>81</v>
      </c>
      <c r="C54" s="935">
        <v>3</v>
      </c>
      <c r="D54" s="359">
        <v>3809.14</v>
      </c>
      <c r="E54" s="810"/>
      <c r="G54" s="123"/>
    </row>
    <row r="55" spans="1:7" ht="15">
      <c r="A55" s="683" t="s">
        <v>479</v>
      </c>
      <c r="B55" s="377" t="s">
        <v>52</v>
      </c>
      <c r="C55" s="935">
        <v>2</v>
      </c>
      <c r="D55" s="359">
        <v>1569.19</v>
      </c>
      <c r="E55" s="810"/>
      <c r="G55" s="123"/>
    </row>
    <row r="56" spans="1:7" ht="15.75" thickBot="1">
      <c r="A56" s="682" t="s">
        <v>196</v>
      </c>
      <c r="B56" s="799"/>
      <c r="C56" s="1145">
        <v>2</v>
      </c>
      <c r="D56" s="807">
        <v>2166.89</v>
      </c>
      <c r="E56" s="810"/>
      <c r="G56" s="123"/>
    </row>
    <row r="57" spans="1:7" ht="15.75" thickBot="1">
      <c r="A57" s="1113" t="s">
        <v>701</v>
      </c>
      <c r="B57" s="1087"/>
      <c r="C57" s="1223"/>
      <c r="D57" s="1010">
        <v>7545.22</v>
      </c>
      <c r="E57" s="810"/>
      <c r="G57" s="123"/>
    </row>
    <row r="58" spans="1:7" ht="15">
      <c r="A58" s="201" t="s">
        <v>386</v>
      </c>
      <c r="B58" s="377"/>
      <c r="C58" s="935"/>
      <c r="D58" s="377"/>
      <c r="E58" s="810"/>
      <c r="G58" s="123"/>
    </row>
    <row r="59" spans="1:7" ht="15">
      <c r="A59" s="683" t="s">
        <v>886</v>
      </c>
      <c r="B59" s="377" t="s">
        <v>478</v>
      </c>
      <c r="C59" s="935">
        <v>15</v>
      </c>
      <c r="D59" s="359">
        <v>5585.84</v>
      </c>
      <c r="E59" s="810"/>
      <c r="G59" s="123"/>
    </row>
    <row r="60" spans="1:7" ht="15">
      <c r="A60" s="683" t="s">
        <v>415</v>
      </c>
      <c r="B60" s="377" t="s">
        <v>52</v>
      </c>
      <c r="C60" s="935">
        <v>3</v>
      </c>
      <c r="D60" s="359">
        <v>354.9</v>
      </c>
      <c r="E60" s="810"/>
      <c r="G60" s="123"/>
    </row>
    <row r="61" spans="1:7" ht="15.75" thickBot="1">
      <c r="A61" s="682" t="s">
        <v>692</v>
      </c>
      <c r="B61" s="799"/>
      <c r="C61" s="1145">
        <v>5</v>
      </c>
      <c r="D61" s="807">
        <v>1148.34</v>
      </c>
      <c r="E61" s="810"/>
      <c r="G61" s="123"/>
    </row>
    <row r="62" spans="1:13" ht="15.75" thickBot="1">
      <c r="A62" s="1113" t="s">
        <v>701</v>
      </c>
      <c r="B62" s="1087"/>
      <c r="C62" s="1223"/>
      <c r="D62" s="1010">
        <v>7089.08</v>
      </c>
      <c r="E62" s="810"/>
      <c r="G62" s="123"/>
      <c r="M62" t="s">
        <v>465</v>
      </c>
    </row>
    <row r="63" spans="1:7" ht="15.75" thickBot="1">
      <c r="A63" s="682"/>
      <c r="B63" s="799"/>
      <c r="C63" s="1145"/>
      <c r="D63" s="799"/>
      <c r="E63" s="810"/>
      <c r="G63" s="123"/>
    </row>
    <row r="64" spans="1:7" ht="15.75" thickBot="1">
      <c r="A64" s="1113" t="s">
        <v>282</v>
      </c>
      <c r="B64" s="1087"/>
      <c r="C64" s="1223"/>
      <c r="D64" s="1010">
        <v>110461.59</v>
      </c>
      <c r="E64" s="810"/>
      <c r="G64" s="123"/>
    </row>
    <row r="65" spans="1:7" ht="15">
      <c r="A65" s="683"/>
      <c r="B65" s="377"/>
      <c r="C65" s="935"/>
      <c r="D65" s="377"/>
      <c r="E65" s="555"/>
      <c r="G65" s="123"/>
    </row>
    <row r="66" spans="1:4" ht="15">
      <c r="A66" s="359"/>
      <c r="B66" s="365"/>
      <c r="C66" s="369"/>
      <c r="D66" s="421"/>
    </row>
    <row r="67" spans="1:4" ht="15">
      <c r="A67" s="808" t="s">
        <v>509</v>
      </c>
      <c r="B67" s="757"/>
      <c r="C67" s="369"/>
      <c r="D67" s="428">
        <v>50452.96</v>
      </c>
    </row>
    <row r="68" spans="1:4" ht="15">
      <c r="A68" s="955" t="s">
        <v>904</v>
      </c>
      <c r="B68" s="677"/>
      <c r="C68" s="369"/>
      <c r="D68" s="869">
        <v>20620.65</v>
      </c>
    </row>
    <row r="69" spans="1:4" ht="15">
      <c r="A69" s="955" t="s">
        <v>735</v>
      </c>
      <c r="B69" s="365"/>
      <c r="C69" s="427"/>
      <c r="D69" s="869">
        <v>175884.04</v>
      </c>
    </row>
    <row r="70" spans="1:4" ht="15.75" thickBot="1">
      <c r="A70" s="526"/>
      <c r="B70" s="758"/>
      <c r="C70" s="519"/>
      <c r="D70" s="541"/>
    </row>
    <row r="71" spans="1:4" ht="16.5" customHeight="1" thickBot="1">
      <c r="A71" s="806" t="s">
        <v>918</v>
      </c>
      <c r="B71" s="811"/>
      <c r="C71" s="1023"/>
      <c r="D71" s="858">
        <v>952342.05</v>
      </c>
    </row>
    <row r="72" spans="1:4" ht="15">
      <c r="A72" s="572"/>
      <c r="B72" s="440"/>
      <c r="C72" s="531"/>
      <c r="D72" s="573"/>
    </row>
    <row r="73" spans="1:4" ht="15">
      <c r="A73" s="370"/>
      <c r="B73" s="370"/>
      <c r="C73" s="370"/>
      <c r="D73" s="371"/>
    </row>
    <row r="74" spans="1:4" ht="15">
      <c r="A74" s="370"/>
      <c r="B74" s="370"/>
      <c r="C74" s="370"/>
      <c r="D74" s="371"/>
    </row>
    <row r="75" spans="1:4" ht="14.25">
      <c r="A75" s="764"/>
      <c r="B75" s="358"/>
      <c r="C75" s="359"/>
      <c r="D75" s="1262"/>
    </row>
    <row r="76" spans="1:4" ht="15">
      <c r="A76" s="1251" t="s">
        <v>568</v>
      </c>
      <c r="B76" s="1257"/>
      <c r="C76" s="467"/>
      <c r="D76" s="467">
        <v>0</v>
      </c>
    </row>
    <row r="77" spans="1:4" ht="15">
      <c r="A77" s="1332" t="s">
        <v>569</v>
      </c>
      <c r="B77" s="1332"/>
      <c r="C77" s="628"/>
      <c r="D77" s="608">
        <v>1076827.67</v>
      </c>
    </row>
    <row r="78" spans="1:4" ht="15">
      <c r="A78" s="1332" t="s">
        <v>570</v>
      </c>
      <c r="B78" s="1332"/>
      <c r="C78" s="607"/>
      <c r="D78" s="608">
        <v>952342.05</v>
      </c>
    </row>
    <row r="79" spans="1:4" ht="15">
      <c r="A79" s="1333" t="s">
        <v>571</v>
      </c>
      <c r="B79" s="1333"/>
      <c r="C79" s="629"/>
      <c r="D79" s="629">
        <v>-124485.62</v>
      </c>
    </row>
    <row r="80" spans="1:4" ht="15">
      <c r="A80" s="1332" t="s">
        <v>179</v>
      </c>
      <c r="B80" s="1332"/>
      <c r="C80" s="1258"/>
      <c r="D80" s="630">
        <v>-124485.62</v>
      </c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 t="s">
        <v>180</v>
      </c>
      <c r="B84" s="538"/>
      <c r="C84" s="1259" t="s">
        <v>573</v>
      </c>
      <c r="D84" s="1260"/>
    </row>
    <row r="85" spans="1:4" ht="15">
      <c r="A85" s="538"/>
      <c r="B85" s="538"/>
      <c r="C85" s="1259"/>
      <c r="D85" s="1260"/>
    </row>
    <row r="86" ht="12.75">
      <c r="A86" s="735" t="s">
        <v>357</v>
      </c>
    </row>
    <row r="87" ht="12.75">
      <c r="A87" s="735" t="s">
        <v>906</v>
      </c>
    </row>
    <row r="88" ht="12.75">
      <c r="A88" s="735" t="s">
        <v>358</v>
      </c>
    </row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77:B77"/>
    <mergeCell ref="A78:B78"/>
    <mergeCell ref="A79:B79"/>
    <mergeCell ref="A80:B80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2">
      <selection activeCell="G26" sqref="G2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103</v>
      </c>
      <c r="C5" s="1391"/>
      <c r="D5"/>
    </row>
    <row r="6" spans="2:4" ht="18.75">
      <c r="B6" s="26"/>
      <c r="C6" s="26"/>
      <c r="D6"/>
    </row>
    <row r="7" spans="2:4" ht="15.75">
      <c r="B7" s="1392" t="s">
        <v>869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v>173788.25</v>
      </c>
      <c r="E11" s="25">
        <v>25445.88</v>
      </c>
    </row>
    <row r="12" spans="2:5" ht="16.5" thickBot="1">
      <c r="B12" s="1398" t="s">
        <v>646</v>
      </c>
      <c r="C12" s="1399"/>
      <c r="D12" s="25">
        <v>1390601.08</v>
      </c>
      <c r="E12" s="25">
        <v>59959.89</v>
      </c>
    </row>
    <row r="13" spans="2:5" ht="16.5" thickBot="1">
      <c r="B13" s="1398" t="s">
        <v>647</v>
      </c>
      <c r="C13" s="1399"/>
      <c r="D13" s="25">
        <v>1353276.36</v>
      </c>
      <c r="E13" s="25">
        <v>82561.48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32096.64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211112.96999999997</v>
      </c>
      <c r="E17" s="25">
        <f>E11+E12-E13</f>
        <v>2844.290000000008</v>
      </c>
    </row>
    <row r="18" spans="2:5" ht="16.5" thickBot="1">
      <c r="B18" s="1398" t="s">
        <v>832</v>
      </c>
      <c r="C18" s="1399"/>
      <c r="D18" s="75">
        <f>E25+E48</f>
        <v>951195.0800000001</v>
      </c>
      <c r="E18" s="73">
        <v>18898.4</v>
      </c>
    </row>
    <row r="19" spans="3:4" ht="12.75">
      <c r="C19" s="83"/>
      <c r="D19" s="81"/>
    </row>
    <row r="20" spans="3:4" ht="12.75">
      <c r="C20" s="83"/>
      <c r="D20" s="81"/>
    </row>
    <row r="21" spans="2:5" ht="18.75">
      <c r="B21" s="1397" t="s">
        <v>650</v>
      </c>
      <c r="C21" s="1397"/>
      <c r="D21" s="1397"/>
      <c r="E21" s="1397"/>
    </row>
    <row r="22" spans="2:5" ht="18.75">
      <c r="B22" s="1397" t="s">
        <v>104</v>
      </c>
      <c r="C22" s="1397"/>
      <c r="D22" s="1397"/>
      <c r="E22" s="1397"/>
    </row>
    <row r="23" ht="13.5" thickBot="1">
      <c r="D23" s="11"/>
    </row>
    <row r="24" spans="1:5" ht="48" thickBot="1">
      <c r="A24" s="9"/>
      <c r="B24" s="34" t="s">
        <v>651</v>
      </c>
      <c r="C24" s="60" t="s">
        <v>667</v>
      </c>
      <c r="D24" s="59" t="s">
        <v>673</v>
      </c>
      <c r="E24" s="63" t="s">
        <v>793</v>
      </c>
    </row>
    <row r="25" spans="1:5" ht="20.25" thickBot="1">
      <c r="A25" s="9"/>
      <c r="B25" s="35" t="s">
        <v>761</v>
      </c>
      <c r="C25" s="61"/>
      <c r="D25" s="10"/>
      <c r="E25" s="62">
        <f>E26+E32+E34+E35+E36+E46</f>
        <v>794473.2400000001</v>
      </c>
    </row>
    <row r="26" spans="1:5" ht="32.25" thickBot="1">
      <c r="A26" s="11"/>
      <c r="B26" s="67" t="s">
        <v>662</v>
      </c>
      <c r="C26" s="64" t="s">
        <v>652</v>
      </c>
      <c r="D26" s="43"/>
      <c r="E26" s="230">
        <v>334506.37</v>
      </c>
    </row>
    <row r="27" spans="2:5" ht="32.25" thickBot="1">
      <c r="B27" s="67" t="s">
        <v>686</v>
      </c>
      <c r="C27" s="65" t="s">
        <v>661</v>
      </c>
      <c r="D27" s="44"/>
      <c r="E27" s="174"/>
    </row>
    <row r="28" spans="2:5" ht="16.5" thickBot="1">
      <c r="B28" s="67" t="s">
        <v>765</v>
      </c>
      <c r="C28" s="65" t="s">
        <v>661</v>
      </c>
      <c r="D28" s="44"/>
      <c r="E28" s="174"/>
    </row>
    <row r="29" spans="2:5" ht="39.75" thickBot="1">
      <c r="B29" s="67" t="s">
        <v>655</v>
      </c>
      <c r="C29" s="64" t="s">
        <v>653</v>
      </c>
      <c r="D29" s="45"/>
      <c r="E29" s="237"/>
    </row>
    <row r="30" spans="2:5" ht="48" thickBot="1">
      <c r="B30" s="67" t="s">
        <v>796</v>
      </c>
      <c r="C30" s="65" t="s">
        <v>661</v>
      </c>
      <c r="D30" s="44"/>
      <c r="E30" s="174"/>
    </row>
    <row r="31" spans="2:5" ht="48" thickBot="1">
      <c r="B31" s="67" t="s">
        <v>797</v>
      </c>
      <c r="C31" s="65" t="s">
        <v>661</v>
      </c>
      <c r="D31" s="44"/>
      <c r="E31" s="174"/>
    </row>
    <row r="32" spans="2:5" ht="16.5" thickBot="1">
      <c r="B32" s="67" t="s">
        <v>654</v>
      </c>
      <c r="C32" s="48" t="s">
        <v>656</v>
      </c>
      <c r="D32" s="43" t="s">
        <v>801</v>
      </c>
      <c r="E32" s="230">
        <v>184807.15</v>
      </c>
    </row>
    <row r="33" spans="2:5" ht="32.25" thickBot="1">
      <c r="B33" s="67" t="s">
        <v>798</v>
      </c>
      <c r="C33" s="65" t="s">
        <v>661</v>
      </c>
      <c r="D33" s="47" t="s">
        <v>822</v>
      </c>
      <c r="E33" s="174"/>
    </row>
    <row r="34" spans="2:5" ht="27" thickBot="1">
      <c r="B34" s="67" t="s">
        <v>658</v>
      </c>
      <c r="C34" s="64" t="s">
        <v>657</v>
      </c>
      <c r="D34" s="43"/>
      <c r="E34" s="230">
        <v>185751.31</v>
      </c>
    </row>
    <row r="35" spans="2:5" ht="16.5" thickBot="1">
      <c r="B35" s="133" t="s">
        <v>799</v>
      </c>
      <c r="C35" s="64" t="s">
        <v>661</v>
      </c>
      <c r="D35" s="43"/>
      <c r="E35" s="230">
        <v>51264.76</v>
      </c>
    </row>
    <row r="36" spans="2:5" ht="16.5" thickBot="1">
      <c r="B36" s="67" t="s">
        <v>879</v>
      </c>
      <c r="C36" s="64" t="s">
        <v>661</v>
      </c>
      <c r="D36" s="43"/>
      <c r="E36" s="230">
        <v>9.03</v>
      </c>
    </row>
    <row r="37" spans="2:5" ht="32.25" thickBot="1">
      <c r="B37" s="68" t="s">
        <v>758</v>
      </c>
      <c r="C37" s="64" t="s">
        <v>665</v>
      </c>
      <c r="D37" s="43"/>
      <c r="E37" s="238"/>
    </row>
    <row r="38" spans="2:5" ht="32.25" thickBot="1">
      <c r="B38" s="67" t="s">
        <v>664</v>
      </c>
      <c r="C38" s="65" t="s">
        <v>661</v>
      </c>
      <c r="D38" s="44"/>
      <c r="E38" s="174"/>
    </row>
    <row r="39" spans="2:5" ht="32.25" thickBot="1">
      <c r="B39" s="67" t="s">
        <v>671</v>
      </c>
      <c r="C39" s="65" t="s">
        <v>661</v>
      </c>
      <c r="D39" s="72"/>
      <c r="E39" s="239"/>
    </row>
    <row r="40" spans="2:5" ht="94.5" thickBot="1">
      <c r="B40" s="36" t="s">
        <v>790</v>
      </c>
      <c r="C40" s="65" t="s">
        <v>661</v>
      </c>
      <c r="D40" s="44"/>
      <c r="E40" s="174"/>
    </row>
    <row r="41" spans="2:5" ht="63.75" thickBot="1">
      <c r="B41" s="67" t="s">
        <v>767</v>
      </c>
      <c r="C41" s="64" t="s">
        <v>766</v>
      </c>
      <c r="D41" s="43"/>
      <c r="E41" s="238"/>
    </row>
    <row r="42" spans="2:5" ht="32.25" thickBot="1">
      <c r="B42" s="67" t="s">
        <v>668</v>
      </c>
      <c r="C42" s="65" t="s">
        <v>661</v>
      </c>
      <c r="D42" s="44"/>
      <c r="E42" s="174"/>
    </row>
    <row r="43" spans="2:5" ht="16.5" thickBot="1">
      <c r="B43" s="67" t="s">
        <v>799</v>
      </c>
      <c r="C43" s="65" t="s">
        <v>661</v>
      </c>
      <c r="D43" s="44"/>
      <c r="E43" s="174"/>
    </row>
    <row r="44" spans="2:5" ht="52.5" thickBot="1">
      <c r="B44" s="67" t="s">
        <v>670</v>
      </c>
      <c r="C44" s="64" t="s">
        <v>684</v>
      </c>
      <c r="D44" s="46"/>
      <c r="E44" s="240"/>
    </row>
    <row r="45" spans="2:5" ht="63.75" thickBot="1">
      <c r="B45" s="68" t="s">
        <v>800</v>
      </c>
      <c r="C45" s="65" t="s">
        <v>661</v>
      </c>
      <c r="D45" s="44"/>
      <c r="E45" s="251"/>
    </row>
    <row r="46" spans="2:5" ht="16.5" thickBot="1">
      <c r="B46" s="69" t="s">
        <v>685</v>
      </c>
      <c r="C46" s="212" t="s">
        <v>817</v>
      </c>
      <c r="D46" s="43" t="s">
        <v>801</v>
      </c>
      <c r="E46" s="231">
        <v>38134.62</v>
      </c>
    </row>
    <row r="47" spans="2:5" ht="32.25" thickBot="1">
      <c r="B47" s="70" t="s">
        <v>802</v>
      </c>
      <c r="C47" s="47"/>
      <c r="D47" s="44"/>
      <c r="E47" s="252"/>
    </row>
    <row r="48" spans="2:5" ht="20.25" thickBot="1">
      <c r="B48" s="14" t="s">
        <v>760</v>
      </c>
      <c r="C48" s="17"/>
      <c r="E48" s="261">
        <f>E60</f>
        <v>156721.84</v>
      </c>
    </row>
    <row r="49" spans="2:5" ht="24.75" thickBot="1">
      <c r="B49" s="150" t="s">
        <v>672</v>
      </c>
      <c r="C49" s="15" t="s">
        <v>920</v>
      </c>
      <c r="D49" s="49" t="s">
        <v>673</v>
      </c>
      <c r="E49" s="176" t="s">
        <v>793</v>
      </c>
    </row>
    <row r="50" spans="2:5" ht="15.75">
      <c r="B50" s="217" t="s">
        <v>816</v>
      </c>
      <c r="C50" s="255" t="s">
        <v>661</v>
      </c>
      <c r="D50" s="149"/>
      <c r="E50" s="266">
        <v>3826.31</v>
      </c>
    </row>
    <row r="51" spans="2:5" ht="15.75">
      <c r="B51" s="188" t="s">
        <v>997</v>
      </c>
      <c r="C51" s="255" t="s">
        <v>661</v>
      </c>
      <c r="D51" s="154"/>
      <c r="E51" s="266">
        <f>30759.64+1811.94</f>
        <v>32571.579999999998</v>
      </c>
    </row>
    <row r="52" spans="2:5" ht="14.25">
      <c r="B52" s="151" t="s">
        <v>676</v>
      </c>
      <c r="C52" s="116"/>
      <c r="D52" s="153"/>
      <c r="E52" s="177"/>
    </row>
    <row r="53" spans="2:5" ht="14.25">
      <c r="B53" s="132" t="s">
        <v>883</v>
      </c>
      <c r="C53" s="74" t="s">
        <v>661</v>
      </c>
      <c r="D53" s="153"/>
      <c r="E53" s="179">
        <f>6369.19+48863.65+1415.08+5745.18</f>
        <v>62393.100000000006</v>
      </c>
    </row>
    <row r="54" spans="2:5" ht="14.25">
      <c r="B54" s="157" t="s">
        <v>880</v>
      </c>
      <c r="C54" s="74" t="s">
        <v>661</v>
      </c>
      <c r="D54" s="152"/>
      <c r="E54" s="177">
        <v>17603.09</v>
      </c>
    </row>
    <row r="55" spans="2:5" ht="14.25">
      <c r="B55" s="157" t="s">
        <v>925</v>
      </c>
      <c r="C55" s="74" t="s">
        <v>661</v>
      </c>
      <c r="D55" s="152"/>
      <c r="E55" s="177">
        <v>13050.47</v>
      </c>
    </row>
    <row r="56" spans="2:5" ht="15">
      <c r="B56" s="151" t="s">
        <v>1025</v>
      </c>
      <c r="C56" s="118"/>
      <c r="D56" s="152"/>
      <c r="E56" s="220"/>
    </row>
    <row r="57" spans="2:5" ht="14.25">
      <c r="B57" s="159" t="s">
        <v>998</v>
      </c>
      <c r="C57" s="74" t="s">
        <v>661</v>
      </c>
      <c r="D57" s="152"/>
      <c r="E57" s="177">
        <v>24726.29</v>
      </c>
    </row>
    <row r="58" spans="2:5" ht="15">
      <c r="B58" s="159" t="s">
        <v>929</v>
      </c>
      <c r="C58" s="74" t="s">
        <v>661</v>
      </c>
      <c r="D58" s="13"/>
      <c r="E58" s="268">
        <v>2551</v>
      </c>
    </row>
    <row r="59" spans="2:5" ht="12.75">
      <c r="B59" s="13"/>
      <c r="C59" s="13"/>
      <c r="D59" s="13"/>
      <c r="E59" s="85"/>
    </row>
    <row r="60" spans="2:5" ht="12.75">
      <c r="B60" s="117" t="s">
        <v>1014</v>
      </c>
      <c r="C60" s="13"/>
      <c r="D60" s="13"/>
      <c r="E60" s="256">
        <f>E50+E53+E54+E57+E58+E55+E51</f>
        <v>156721.84</v>
      </c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1"/>
      <c r="C65" s="11"/>
      <c r="D65" s="11"/>
      <c r="E65" s="207"/>
    </row>
    <row r="66" spans="2:5" ht="15.75">
      <c r="B66" s="6" t="s">
        <v>830</v>
      </c>
      <c r="C66" s="6" t="s">
        <v>889</v>
      </c>
      <c r="E66" s="254"/>
    </row>
  </sheetData>
  <sheetProtection/>
  <mergeCells count="15">
    <mergeCell ref="B22:E22"/>
    <mergeCell ref="B12:C12"/>
    <mergeCell ref="B13:C13"/>
    <mergeCell ref="B14:C14"/>
    <mergeCell ref="B15:C15"/>
    <mergeCell ref="B16:C16"/>
    <mergeCell ref="B17:C17"/>
    <mergeCell ref="B2:C2"/>
    <mergeCell ref="B3:C3"/>
    <mergeCell ref="B4:C4"/>
    <mergeCell ref="B5:C5"/>
    <mergeCell ref="B7:C7"/>
    <mergeCell ref="B9:C10"/>
    <mergeCell ref="B18:C18"/>
    <mergeCell ref="B21:E21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2.003906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9.75" customHeight="1">
      <c r="B6" s="26"/>
      <c r="C6" s="26"/>
      <c r="D6"/>
    </row>
    <row r="7" spans="2:4" ht="15.75">
      <c r="B7" s="1392" t="s">
        <v>863</v>
      </c>
      <c r="C7" s="1392"/>
      <c r="D7"/>
    </row>
    <row r="8" spans="2:4" ht="9" customHeight="1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36067.21+219.57</f>
        <v>36286.78</v>
      </c>
      <c r="E11" s="25">
        <v>7016.92</v>
      </c>
    </row>
    <row r="12" spans="2:5" ht="16.5" thickBot="1">
      <c r="B12" s="1398" t="s">
        <v>646</v>
      </c>
      <c r="C12" s="1399"/>
      <c r="D12" s="25">
        <f>260566.58+1253.28</f>
        <v>261819.86</v>
      </c>
      <c r="E12" s="25">
        <v>12458.76</v>
      </c>
    </row>
    <row r="13" spans="2:5" ht="16.5" thickBot="1">
      <c r="B13" s="1398" t="s">
        <v>647</v>
      </c>
      <c r="C13" s="1399"/>
      <c r="D13" s="25">
        <f>263997.37+1472.85</f>
        <v>265470.22</v>
      </c>
      <c r="E13" s="25">
        <v>19033.3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21870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32636.420000000042</v>
      </c>
      <c r="E17" s="25">
        <f>E11+E12-E13</f>
        <v>442.380000000001</v>
      </c>
    </row>
    <row r="18" spans="2:5" ht="16.5" thickBot="1">
      <c r="B18" s="1398" t="s">
        <v>832</v>
      </c>
      <c r="C18" s="1399"/>
      <c r="D18" s="75">
        <f>E24+E47</f>
        <v>295039.98</v>
      </c>
      <c r="E18" s="73">
        <v>18898.4</v>
      </c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9" customHeight="1" thickBot="1">
      <c r="D22" s="11"/>
    </row>
    <row r="23" spans="1:5" ht="48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E25+E31+E32+E33+E34+E35+E45</f>
        <v>173316.84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85150.28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41980.2</v>
      </c>
    </row>
    <row r="32" spans="2:5" ht="30.75" thickBot="1">
      <c r="B32" s="133" t="s">
        <v>893</v>
      </c>
      <c r="C32" s="270" t="s">
        <v>661</v>
      </c>
      <c r="D32" s="271"/>
      <c r="E32" s="273">
        <v>1030.93</v>
      </c>
    </row>
    <row r="33" spans="2:5" ht="28.5" customHeight="1" thickBot="1">
      <c r="B33" s="133" t="s">
        <v>658</v>
      </c>
      <c r="C33" s="272" t="s">
        <v>657</v>
      </c>
      <c r="D33" s="43"/>
      <c r="E33" s="230">
        <v>28774.31</v>
      </c>
    </row>
    <row r="34" spans="2:5" ht="16.5" thickBot="1">
      <c r="B34" s="133" t="s">
        <v>799</v>
      </c>
      <c r="C34" s="64" t="s">
        <v>661</v>
      </c>
      <c r="D34" s="43"/>
      <c r="E34" s="230">
        <v>5507.82</v>
      </c>
    </row>
    <row r="35" spans="2:5" ht="16.5" thickBot="1">
      <c r="B35" s="67" t="s">
        <v>879</v>
      </c>
      <c r="C35" s="64" t="s">
        <v>661</v>
      </c>
      <c r="D35" s="43"/>
      <c r="E35" s="230">
        <f>1275+641.9</f>
        <v>1916.9</v>
      </c>
    </row>
    <row r="36" spans="2:5" ht="32.2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94.5" hidden="1" thickBot="1">
      <c r="B39" s="36" t="s">
        <v>790</v>
      </c>
      <c r="C39" s="65" t="s">
        <v>661</v>
      </c>
      <c r="D39" s="44"/>
      <c r="E39" s="174"/>
    </row>
    <row r="40" spans="2:5" ht="63.75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52.5" hidden="1" thickBot="1">
      <c r="B43" s="67" t="s">
        <v>670</v>
      </c>
      <c r="C43" s="64" t="s">
        <v>684</v>
      </c>
      <c r="D43" s="46"/>
      <c r="E43" s="240"/>
    </row>
    <row r="44" spans="2:5" ht="63.75" hidden="1" thickBot="1">
      <c r="B44" s="68" t="s">
        <v>800</v>
      </c>
      <c r="C44" s="65" t="s">
        <v>661</v>
      </c>
      <c r="D44" s="44"/>
      <c r="E44" s="251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8956.4</v>
      </c>
    </row>
    <row r="46" spans="2:5" ht="32.25" hidden="1" thickBot="1">
      <c r="B46" s="70" t="s">
        <v>802</v>
      </c>
      <c r="C46" s="47"/>
      <c r="D46" s="44"/>
      <c r="E46" s="252"/>
    </row>
    <row r="47" spans="2:5" ht="20.25" thickBot="1">
      <c r="B47" s="14" t="s">
        <v>760</v>
      </c>
      <c r="C47" s="17"/>
      <c r="E47" s="261">
        <f>E59</f>
        <v>121723.14</v>
      </c>
    </row>
    <row r="48" spans="2:5" ht="24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>
      <c r="B49" s="217" t="s">
        <v>816</v>
      </c>
      <c r="C49" s="255" t="s">
        <v>661</v>
      </c>
      <c r="D49" s="149"/>
      <c r="E49" s="266">
        <v>1024.52</v>
      </c>
    </row>
    <row r="50" spans="2:5" ht="15.75">
      <c r="B50" s="188" t="s">
        <v>997</v>
      </c>
      <c r="C50" s="255" t="s">
        <v>661</v>
      </c>
      <c r="D50" s="154"/>
      <c r="E50" s="266">
        <f>7349.91+12249</f>
        <v>19598.91</v>
      </c>
    </row>
    <row r="51" spans="2:5" ht="15.75">
      <c r="B51" s="188" t="s">
        <v>1000</v>
      </c>
      <c r="C51" s="255" t="s">
        <v>661</v>
      </c>
      <c r="D51" s="154"/>
      <c r="E51" s="266">
        <f>8731.7+22853.69</f>
        <v>31585.39</v>
      </c>
    </row>
    <row r="52" spans="2:5" ht="14.25">
      <c r="B52" s="151" t="s">
        <v>676</v>
      </c>
      <c r="C52" s="116"/>
      <c r="D52" s="153"/>
      <c r="E52" s="177"/>
    </row>
    <row r="53" spans="2:5" ht="14.25">
      <c r="B53" s="132" t="s">
        <v>883</v>
      </c>
      <c r="C53" s="74" t="s">
        <v>661</v>
      </c>
      <c r="D53" s="153"/>
      <c r="E53" s="179">
        <v>36652.87</v>
      </c>
    </row>
    <row r="54" spans="2:5" ht="14.25">
      <c r="B54" s="157" t="s">
        <v>880</v>
      </c>
      <c r="C54" s="74" t="s">
        <v>661</v>
      </c>
      <c r="D54" s="152"/>
      <c r="E54" s="177">
        <v>2263.21</v>
      </c>
    </row>
    <row r="55" spans="2:5" ht="15">
      <c r="B55" s="151" t="s">
        <v>1025</v>
      </c>
      <c r="C55" s="118"/>
      <c r="D55" s="152"/>
      <c r="E55" s="220"/>
    </row>
    <row r="56" spans="2:5" ht="14.25">
      <c r="B56" s="159" t="s">
        <v>998</v>
      </c>
      <c r="C56" s="74" t="s">
        <v>661</v>
      </c>
      <c r="D56" s="152"/>
      <c r="E56" s="177">
        <v>30002.86</v>
      </c>
    </row>
    <row r="57" spans="2:5" ht="15">
      <c r="B57" s="159" t="s">
        <v>929</v>
      </c>
      <c r="C57" s="74" t="s">
        <v>661</v>
      </c>
      <c r="D57" s="13"/>
      <c r="E57" s="268">
        <v>595.38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E49+E53+E54+E56+E57+E50+E51</f>
        <v>121723.14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  <row r="65" ht="12.75">
      <c r="E65" s="254"/>
    </row>
    <row r="66" ht="12.75">
      <c r="E66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CC"/>
  </sheetPr>
  <dimension ref="A3:D95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7" width="0" style="0" hidden="1" customWidth="1"/>
    <col min="8" max="8" width="9.57421875" style="0" bestFit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548</v>
      </c>
      <c r="B9" s="1343"/>
      <c r="C9" s="139"/>
      <c r="D9" s="139"/>
    </row>
    <row r="10" spans="1:4" ht="15.75" thickBot="1">
      <c r="A10" s="324"/>
      <c r="B10" s="324"/>
      <c r="C10" s="139"/>
      <c r="D10" s="139"/>
    </row>
    <row r="11" spans="1:4" ht="12.75" customHeight="1">
      <c r="A11" s="1366" t="s">
        <v>642</v>
      </c>
      <c r="B11" s="1320"/>
      <c r="C11" s="785" t="s">
        <v>351</v>
      </c>
      <c r="D11" s="785" t="s">
        <v>353</v>
      </c>
    </row>
    <row r="12" spans="1:4" ht="13.5" thickBot="1">
      <c r="A12" s="1368"/>
      <c r="B12" s="1321"/>
      <c r="C12" s="786" t="s">
        <v>352</v>
      </c>
      <c r="D12" s="786" t="s">
        <v>354</v>
      </c>
    </row>
    <row r="13" spans="1:4" ht="15.75" thickBot="1">
      <c r="A13" s="372" t="s">
        <v>347</v>
      </c>
      <c r="B13" s="778"/>
      <c r="C13" s="779">
        <v>232669.1</v>
      </c>
      <c r="D13" s="779">
        <v>777.83</v>
      </c>
    </row>
    <row r="14" spans="1:4" ht="15.75" thickBot="1">
      <c r="A14" s="471" t="s">
        <v>486</v>
      </c>
      <c r="B14" s="538"/>
      <c r="C14" s="780">
        <v>1161959.51</v>
      </c>
      <c r="D14" s="780">
        <v>50097.96</v>
      </c>
    </row>
    <row r="15" spans="1:4" ht="15.75" thickBot="1">
      <c r="A15" s="470" t="s">
        <v>647</v>
      </c>
      <c r="B15" s="527"/>
      <c r="C15" s="782">
        <v>1179116.49</v>
      </c>
      <c r="D15" s="781">
        <v>46413.84</v>
      </c>
    </row>
    <row r="16" spans="1:4" ht="15.75" thickBot="1">
      <c r="A16" s="475" t="s">
        <v>348</v>
      </c>
      <c r="B16" s="353"/>
      <c r="C16" s="784">
        <f>C13+C14-C15</f>
        <v>215512.1200000001</v>
      </c>
      <c r="D16" s="783">
        <v>4461.95</v>
      </c>
    </row>
    <row r="17" spans="1:4" ht="15" thickBot="1">
      <c r="A17" s="470" t="s">
        <v>540</v>
      </c>
      <c r="B17" s="527"/>
      <c r="C17" s="1253">
        <v>1385522.39</v>
      </c>
      <c r="D17" s="1268">
        <v>352894.5</v>
      </c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455"/>
      <c r="C24" s="456"/>
      <c r="D24" s="468"/>
    </row>
    <row r="25" spans="1:4" ht="26.25">
      <c r="A25" s="546" t="s">
        <v>105</v>
      </c>
      <c r="B25" s="637" t="s">
        <v>652</v>
      </c>
      <c r="C25" s="536"/>
      <c r="D25" s="528">
        <v>192204.74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112609.45</v>
      </c>
    </row>
    <row r="27" spans="1:4" ht="24.75">
      <c r="A27" s="546" t="s">
        <v>14</v>
      </c>
      <c r="B27" s="397" t="s">
        <v>657</v>
      </c>
      <c r="C27" s="506"/>
      <c r="D27" s="507">
        <v>140776.4</v>
      </c>
    </row>
    <row r="28" spans="1:4" ht="17.25" customHeight="1">
      <c r="A28" s="492" t="s">
        <v>745</v>
      </c>
      <c r="B28" s="490" t="s">
        <v>661</v>
      </c>
      <c r="C28" s="491"/>
      <c r="D28" s="402">
        <v>13934.99</v>
      </c>
    </row>
    <row r="29" spans="1:4" ht="21.75" customHeight="1" thickBot="1">
      <c r="A29" s="413" t="s">
        <v>19</v>
      </c>
      <c r="B29" s="511"/>
      <c r="C29" s="405"/>
      <c r="D29" s="512">
        <v>21984.4</v>
      </c>
    </row>
    <row r="30" spans="1:4" ht="15.75" customHeight="1" thickBot="1">
      <c r="A30" s="805" t="s">
        <v>701</v>
      </c>
      <c r="B30" s="870"/>
      <c r="C30" s="796"/>
      <c r="D30" s="939">
        <v>481509.98</v>
      </c>
    </row>
    <row r="31" spans="1:4" ht="15.75" thickBot="1">
      <c r="A31" s="487" t="s">
        <v>914</v>
      </c>
      <c r="B31" s="461"/>
      <c r="C31" s="462"/>
      <c r="D31" s="463"/>
    </row>
    <row r="32" spans="1:4" ht="15">
      <c r="A32" s="513" t="s">
        <v>733</v>
      </c>
      <c r="B32" s="514" t="s">
        <v>920</v>
      </c>
      <c r="C32" s="515" t="s">
        <v>673</v>
      </c>
      <c r="D32" s="516"/>
    </row>
    <row r="33" spans="1:4" ht="15">
      <c r="A33" s="377" t="s">
        <v>746</v>
      </c>
      <c r="B33" s="479"/>
      <c r="C33" s="441"/>
      <c r="D33" s="532">
        <v>18401.94</v>
      </c>
    </row>
    <row r="34" spans="1:4" ht="15">
      <c r="A34" s="383" t="s">
        <v>747</v>
      </c>
      <c r="B34" s="479" t="s">
        <v>40</v>
      </c>
      <c r="C34" s="441">
        <v>2</v>
      </c>
      <c r="D34" s="532">
        <v>329819.52</v>
      </c>
    </row>
    <row r="35" spans="1:4" ht="15">
      <c r="A35" s="383" t="s">
        <v>753</v>
      </c>
      <c r="B35" s="479"/>
      <c r="C35" s="441">
        <v>1</v>
      </c>
      <c r="D35" s="532">
        <v>269.66</v>
      </c>
    </row>
    <row r="36" spans="1:4" ht="15.75" thickBot="1">
      <c r="A36" s="843" t="s">
        <v>60</v>
      </c>
      <c r="B36" s="758"/>
      <c r="C36" s="439">
        <v>1</v>
      </c>
      <c r="D36" s="439">
        <v>4065.11</v>
      </c>
    </row>
    <row r="37" spans="1:4" ht="15.75" thickBot="1">
      <c r="A37" s="805" t="s">
        <v>701</v>
      </c>
      <c r="B37" s="817"/>
      <c r="C37" s="933"/>
      <c r="D37" s="940">
        <v>352556.23</v>
      </c>
    </row>
    <row r="38" spans="1:4" ht="15">
      <c r="A38" s="465" t="s">
        <v>21</v>
      </c>
      <c r="B38" s="800"/>
      <c r="C38" s="441"/>
      <c r="D38" s="441"/>
    </row>
    <row r="39" spans="1:4" ht="15">
      <c r="A39" s="359" t="s">
        <v>751</v>
      </c>
      <c r="B39" s="365" t="s">
        <v>40</v>
      </c>
      <c r="C39" s="421">
        <v>1</v>
      </c>
      <c r="D39" s="422">
        <v>619.97</v>
      </c>
    </row>
    <row r="40" spans="1:4" ht="15">
      <c r="A40" s="359" t="s">
        <v>750</v>
      </c>
      <c r="B40" s="677"/>
      <c r="C40" s="421">
        <v>1</v>
      </c>
      <c r="D40" s="422">
        <v>5544</v>
      </c>
    </row>
    <row r="41" spans="1:4" ht="15">
      <c r="A41" s="359" t="s">
        <v>752</v>
      </c>
      <c r="B41" s="677"/>
      <c r="C41" s="421">
        <v>1</v>
      </c>
      <c r="D41" s="422">
        <v>512.35</v>
      </c>
    </row>
    <row r="42" spans="1:4" ht="15">
      <c r="A42" s="359" t="s">
        <v>174</v>
      </c>
      <c r="B42" s="677" t="s">
        <v>478</v>
      </c>
      <c r="C42" s="421">
        <v>3</v>
      </c>
      <c r="D42" s="422">
        <v>3001.49</v>
      </c>
    </row>
    <row r="43" spans="1:4" ht="15.75" thickBot="1">
      <c r="A43" s="807"/>
      <c r="B43" s="934"/>
      <c r="C43" s="439"/>
      <c r="D43" s="424"/>
    </row>
    <row r="44" spans="1:4" ht="15.75" thickBot="1">
      <c r="A44" s="806" t="s">
        <v>918</v>
      </c>
      <c r="B44" s="825"/>
      <c r="C44" s="803"/>
      <c r="D44" s="941">
        <v>9677.81</v>
      </c>
    </row>
    <row r="45" spans="1:4" ht="15">
      <c r="A45" s="808" t="s">
        <v>23</v>
      </c>
      <c r="B45" s="570"/>
      <c r="C45" s="441"/>
      <c r="D45" s="421"/>
    </row>
    <row r="46" spans="1:4" ht="15">
      <c r="A46" s="377" t="s">
        <v>754</v>
      </c>
      <c r="B46" s="935"/>
      <c r="C46" s="441">
        <v>4</v>
      </c>
      <c r="D46" s="896">
        <v>2167.57</v>
      </c>
    </row>
    <row r="47" spans="1:4" ht="15">
      <c r="A47" s="377" t="s">
        <v>710</v>
      </c>
      <c r="B47" s="935"/>
      <c r="C47" s="441"/>
      <c r="D47" s="421">
        <v>26603</v>
      </c>
    </row>
    <row r="48" spans="1:4" ht="15">
      <c r="A48" s="359" t="s">
        <v>756</v>
      </c>
      <c r="B48" s="677" t="s">
        <v>478</v>
      </c>
      <c r="C48" s="421">
        <v>3</v>
      </c>
      <c r="D48" s="424">
        <v>19132.97</v>
      </c>
    </row>
    <row r="49" spans="1:4" ht="15.75" thickBot="1">
      <c r="A49" s="807" t="s">
        <v>552</v>
      </c>
      <c r="B49" s="934" t="s">
        <v>478</v>
      </c>
      <c r="C49" s="439">
        <v>2</v>
      </c>
      <c r="D49" s="424">
        <v>2336.26</v>
      </c>
    </row>
    <row r="50" spans="1:4" ht="15.75" thickBot="1">
      <c r="A50" s="806" t="s">
        <v>918</v>
      </c>
      <c r="B50" s="811"/>
      <c r="C50" s="803"/>
      <c r="D50" s="941">
        <v>50239.8</v>
      </c>
    </row>
    <row r="51" spans="1:4" ht="15">
      <c r="A51" s="808" t="s">
        <v>27</v>
      </c>
      <c r="B51" s="570"/>
      <c r="C51" s="441"/>
      <c r="D51" s="532"/>
    </row>
    <row r="52" spans="1:4" ht="15">
      <c r="A52" s="377" t="s">
        <v>479</v>
      </c>
      <c r="B52" s="570" t="s">
        <v>211</v>
      </c>
      <c r="C52" s="441">
        <v>1</v>
      </c>
      <c r="D52" s="810">
        <v>1348.17</v>
      </c>
    </row>
    <row r="53" spans="1:4" ht="15">
      <c r="A53" s="377" t="s">
        <v>748</v>
      </c>
      <c r="B53" s="570"/>
      <c r="C53" s="441">
        <v>3</v>
      </c>
      <c r="D53" s="810">
        <v>7595</v>
      </c>
    </row>
    <row r="54" spans="1:4" ht="15">
      <c r="A54" s="377" t="s">
        <v>749</v>
      </c>
      <c r="B54" s="570"/>
      <c r="C54" s="441"/>
      <c r="D54" s="532">
        <v>19207</v>
      </c>
    </row>
    <row r="55" spans="1:4" ht="15">
      <c r="A55" s="359" t="s">
        <v>882</v>
      </c>
      <c r="B55" s="365"/>
      <c r="C55" s="421">
        <v>7</v>
      </c>
      <c r="D55" s="425">
        <v>12212.67</v>
      </c>
    </row>
    <row r="56" spans="1:4" ht="15.75" thickBot="1">
      <c r="A56" s="807" t="s">
        <v>212</v>
      </c>
      <c r="B56" s="758" t="s">
        <v>81</v>
      </c>
      <c r="C56" s="439">
        <v>3</v>
      </c>
      <c r="D56" s="424">
        <v>3924.47</v>
      </c>
    </row>
    <row r="57" spans="1:4" ht="15.75" thickBot="1">
      <c r="A57" s="806" t="s">
        <v>701</v>
      </c>
      <c r="B57" s="811"/>
      <c r="C57" s="803"/>
      <c r="D57" s="841">
        <v>44287.31</v>
      </c>
    </row>
    <row r="58" spans="1:4" ht="15">
      <c r="A58" s="808" t="s">
        <v>693</v>
      </c>
      <c r="B58" s="834"/>
      <c r="C58" s="836"/>
      <c r="D58" s="896"/>
    </row>
    <row r="59" spans="1:4" ht="15">
      <c r="A59" s="359" t="s">
        <v>318</v>
      </c>
      <c r="B59" s="365" t="s">
        <v>211</v>
      </c>
      <c r="C59" s="421">
        <v>1</v>
      </c>
      <c r="D59" s="421">
        <v>3725.96</v>
      </c>
    </row>
    <row r="60" spans="1:4" ht="15">
      <c r="A60" s="938"/>
      <c r="B60" s="834"/>
      <c r="C60" s="836"/>
      <c r="D60" s="896"/>
    </row>
    <row r="61" spans="1:4" ht="15.75" thickBot="1">
      <c r="A61" s="807"/>
      <c r="B61" s="758"/>
      <c r="C61" s="922"/>
      <c r="D61" s="425"/>
    </row>
    <row r="62" spans="1:4" ht="15.75" thickBot="1">
      <c r="A62" s="806" t="s">
        <v>701</v>
      </c>
      <c r="B62" s="811"/>
      <c r="C62" s="898"/>
      <c r="D62" s="892">
        <v>3725.96</v>
      </c>
    </row>
    <row r="63" spans="1:4" ht="15">
      <c r="A63" s="465" t="s">
        <v>736</v>
      </c>
      <c r="B63" s="763"/>
      <c r="C63" s="900"/>
      <c r="D63" s="877"/>
    </row>
    <row r="64" spans="1:4" ht="15">
      <c r="A64" s="387" t="s">
        <v>886</v>
      </c>
      <c r="B64" s="677" t="s">
        <v>478</v>
      </c>
      <c r="C64" s="427">
        <v>12</v>
      </c>
      <c r="D64" s="532">
        <v>6512.05</v>
      </c>
    </row>
    <row r="65" spans="1:4" ht="15">
      <c r="A65" s="574" t="s">
        <v>755</v>
      </c>
      <c r="B65" s="934" t="s">
        <v>478</v>
      </c>
      <c r="C65" s="435">
        <v>2</v>
      </c>
      <c r="D65" s="541">
        <v>3088.18</v>
      </c>
    </row>
    <row r="66" spans="1:4" ht="15">
      <c r="A66" s="574" t="s">
        <v>692</v>
      </c>
      <c r="B66" s="934" t="s">
        <v>478</v>
      </c>
      <c r="C66" s="435">
        <v>12</v>
      </c>
      <c r="D66" s="541">
        <v>28631.96</v>
      </c>
    </row>
    <row r="67" spans="1:4" ht="15">
      <c r="A67" s="574" t="s">
        <v>593</v>
      </c>
      <c r="B67" s="934"/>
      <c r="C67" s="435"/>
      <c r="D67" s="541">
        <v>46915</v>
      </c>
    </row>
    <row r="68" spans="1:4" ht="15.75" thickBot="1">
      <c r="A68" s="574"/>
      <c r="B68" s="934"/>
      <c r="C68" s="435"/>
      <c r="D68" s="541"/>
    </row>
    <row r="69" spans="1:4" ht="15.75" thickBot="1">
      <c r="A69" s="806" t="s">
        <v>701</v>
      </c>
      <c r="B69" s="825"/>
      <c r="C69" s="907"/>
      <c r="D69" s="858">
        <v>85147.19</v>
      </c>
    </row>
    <row r="70" spans="1:4" ht="15.75" thickBot="1">
      <c r="A70" s="837" t="s">
        <v>902</v>
      </c>
      <c r="B70" s="825"/>
      <c r="C70" s="907"/>
      <c r="D70" s="858">
        <v>545634.3</v>
      </c>
    </row>
    <row r="71" spans="1:4" ht="15.75" thickBot="1">
      <c r="A71" s="837" t="s">
        <v>743</v>
      </c>
      <c r="B71" s="825"/>
      <c r="C71" s="907"/>
      <c r="D71" s="858">
        <v>41698.51</v>
      </c>
    </row>
    <row r="72" spans="1:4" ht="15.75" thickBot="1">
      <c r="A72" s="837" t="s">
        <v>904</v>
      </c>
      <c r="B72" s="825"/>
      <c r="C72" s="803"/>
      <c r="D72" s="858">
        <v>60793.3</v>
      </c>
    </row>
    <row r="73" spans="1:4" ht="15.75" thickBot="1">
      <c r="A73" s="837" t="s">
        <v>917</v>
      </c>
      <c r="B73" s="860"/>
      <c r="C73" s="936"/>
      <c r="D73" s="863">
        <v>255886.3</v>
      </c>
    </row>
    <row r="74" spans="1:4" ht="15">
      <c r="A74" s="890"/>
      <c r="B74" s="570"/>
      <c r="C74" s="441"/>
      <c r="D74" s="441"/>
    </row>
    <row r="75" spans="1:4" ht="15.75" thickBot="1">
      <c r="A75" s="937"/>
      <c r="B75" s="758"/>
      <c r="C75" s="439"/>
      <c r="D75" s="439"/>
    </row>
    <row r="76" spans="1:4" ht="15.75" thickBot="1">
      <c r="A76" s="806" t="s">
        <v>744</v>
      </c>
      <c r="B76" s="811"/>
      <c r="C76" s="803"/>
      <c r="D76" s="863">
        <v>1385522.39</v>
      </c>
    </row>
    <row r="77" spans="1:4" ht="15">
      <c r="A77" s="370"/>
      <c r="B77" s="370"/>
      <c r="C77" s="370"/>
      <c r="D77" s="371"/>
    </row>
    <row r="78" spans="1:4" ht="15">
      <c r="A78" s="370"/>
      <c r="B78" s="370"/>
      <c r="C78" s="370"/>
      <c r="D78" s="371"/>
    </row>
    <row r="79" spans="1:4" ht="15">
      <c r="A79" s="370"/>
      <c r="B79" s="370"/>
      <c r="C79" s="370"/>
      <c r="D79" s="371"/>
    </row>
    <row r="80" spans="1:4" ht="15.75" thickBot="1">
      <c r="A80" s="71"/>
      <c r="B80" s="11"/>
      <c r="C80" s="11"/>
      <c r="D80" s="11"/>
    </row>
    <row r="81" spans="1:4" ht="25.5">
      <c r="A81" s="1322"/>
      <c r="B81" s="1323"/>
      <c r="C81" s="1267" t="s">
        <v>28</v>
      </c>
      <c r="D81" s="1264" t="s">
        <v>29</v>
      </c>
    </row>
    <row r="82" spans="1:4" ht="13.5" thickBot="1">
      <c r="A82" s="1322"/>
      <c r="B82" s="1323"/>
      <c r="C82" s="1266" t="s">
        <v>352</v>
      </c>
      <c r="D82" s="1265"/>
    </row>
    <row r="83" spans="1:4" ht="15">
      <c r="A83" s="1251" t="s">
        <v>568</v>
      </c>
      <c r="B83" s="1257"/>
      <c r="C83" s="1263">
        <v>0</v>
      </c>
      <c r="D83" s="1263">
        <v>340441.28</v>
      </c>
    </row>
    <row r="84" spans="1:4" ht="15">
      <c r="A84" s="1332" t="s">
        <v>569</v>
      </c>
      <c r="B84" s="1332"/>
      <c r="C84" s="628">
        <v>1179116.49</v>
      </c>
      <c r="D84" s="608">
        <v>46413.84</v>
      </c>
    </row>
    <row r="85" spans="1:4" ht="15">
      <c r="A85" s="1332" t="s">
        <v>570</v>
      </c>
      <c r="B85" s="1332"/>
      <c r="C85" s="607">
        <v>1385522.39</v>
      </c>
      <c r="D85" s="608">
        <v>352894.5</v>
      </c>
    </row>
    <row r="86" spans="1:4" ht="15">
      <c r="A86" s="1333" t="s">
        <v>571</v>
      </c>
      <c r="B86" s="1333"/>
      <c r="C86" s="629">
        <v>206405.9</v>
      </c>
      <c r="D86" s="629">
        <v>-33960.62</v>
      </c>
    </row>
    <row r="87" spans="1:4" ht="15">
      <c r="A87" s="1332" t="s">
        <v>179</v>
      </c>
      <c r="B87" s="1332"/>
      <c r="C87" s="1258">
        <v>206405.9</v>
      </c>
      <c r="D87" s="630">
        <v>-33960.62</v>
      </c>
    </row>
    <row r="91" spans="1:3" ht="12.75">
      <c r="A91" s="1" t="s">
        <v>181</v>
      </c>
      <c r="C91" s="1" t="s">
        <v>573</v>
      </c>
    </row>
    <row r="93" ht="12.75">
      <c r="A93" s="735" t="s">
        <v>357</v>
      </c>
    </row>
    <row r="94" ht="12.75">
      <c r="A94" s="735" t="s">
        <v>906</v>
      </c>
    </row>
    <row r="95" ht="12.75">
      <c r="A95" s="735" t="s">
        <v>358</v>
      </c>
    </row>
  </sheetData>
  <sheetProtection/>
  <mergeCells count="13">
    <mergeCell ref="A87:B87"/>
    <mergeCell ref="A81:B82"/>
    <mergeCell ref="A84:B84"/>
    <mergeCell ref="A85:B85"/>
    <mergeCell ref="A86:B86"/>
    <mergeCell ref="A20:D20"/>
    <mergeCell ref="A21:D21"/>
    <mergeCell ref="A4:B4"/>
    <mergeCell ref="A5:B5"/>
    <mergeCell ref="A6:B6"/>
    <mergeCell ref="A7:B7"/>
    <mergeCell ref="A9:B9"/>
    <mergeCell ref="A11:B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indexed="45"/>
  </sheetPr>
  <dimension ref="A1:D9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4.421875" style="0" customWidth="1"/>
    <col min="3" max="3" width="13.57421875" style="0" customWidth="1"/>
    <col min="4" max="4" width="14.57421875" style="0" customWidth="1"/>
  </cols>
  <sheetData>
    <row r="1" spans="1:4" ht="12.75">
      <c r="A1" s="1"/>
      <c r="B1" s="1"/>
      <c r="C1" s="1"/>
      <c r="D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63" t="s">
        <v>497</v>
      </c>
      <c r="B3" s="1363"/>
      <c r="C3" s="91"/>
      <c r="D3" s="91"/>
    </row>
    <row r="4" spans="1:4" ht="15.75">
      <c r="A4" s="1363" t="s">
        <v>641</v>
      </c>
      <c r="B4" s="1363"/>
      <c r="C4" s="91"/>
      <c r="D4" s="91"/>
    </row>
    <row r="5" spans="1:4" ht="15.75">
      <c r="A5" s="1363" t="s">
        <v>804</v>
      </c>
      <c r="B5" s="1363"/>
      <c r="C5" s="91"/>
      <c r="D5" s="91"/>
    </row>
    <row r="6" spans="1:4" ht="18.75">
      <c r="A6" s="26"/>
      <c r="B6" s="26"/>
      <c r="D6" s="1"/>
    </row>
    <row r="7" spans="1:4" ht="15">
      <c r="A7" s="1343" t="s">
        <v>343</v>
      </c>
      <c r="B7" s="1343"/>
      <c r="C7" s="139"/>
      <c r="D7" s="139"/>
    </row>
    <row r="8" spans="1:4" ht="15">
      <c r="A8" s="324"/>
      <c r="B8" s="324"/>
      <c r="C8" s="139"/>
      <c r="D8" s="139"/>
    </row>
    <row r="9" spans="1:4" ht="12.75">
      <c r="A9" s="1366" t="s">
        <v>642</v>
      </c>
      <c r="B9" s="1367"/>
      <c r="C9" s="1366" t="s">
        <v>895</v>
      </c>
      <c r="D9" s="1367"/>
    </row>
    <row r="10" spans="1:4" ht="12.75">
      <c r="A10" s="1368"/>
      <c r="B10" s="1369"/>
      <c r="C10" s="1368"/>
      <c r="D10" s="1369"/>
    </row>
    <row r="11" spans="1:4" ht="15">
      <c r="A11" s="372" t="s">
        <v>347</v>
      </c>
      <c r="B11" s="472"/>
      <c r="C11" s="1380">
        <v>133316.58</v>
      </c>
      <c r="D11" s="1381"/>
    </row>
    <row r="12" spans="1:4" ht="14.25">
      <c r="A12" s="471" t="s">
        <v>486</v>
      </c>
      <c r="B12" s="473"/>
      <c r="C12" s="1310">
        <v>592280.2</v>
      </c>
      <c r="D12" s="1311"/>
    </row>
    <row r="13" spans="1:4" ht="14.25">
      <c r="A13" s="470" t="s">
        <v>647</v>
      </c>
      <c r="B13" s="474"/>
      <c r="C13" s="1312">
        <v>578474.36</v>
      </c>
      <c r="D13" s="1313"/>
    </row>
    <row r="14" spans="1:4" ht="15">
      <c r="A14" s="475" t="s">
        <v>348</v>
      </c>
      <c r="B14" s="476"/>
      <c r="C14" s="1377">
        <f>C11+C12-C13</f>
        <v>147122.41999999993</v>
      </c>
      <c r="D14" s="1378"/>
    </row>
    <row r="15" spans="1:4" ht="14.25">
      <c r="A15" s="470" t="s">
        <v>539</v>
      </c>
      <c r="B15" s="474"/>
      <c r="C15" s="1407">
        <v>1055351.67</v>
      </c>
      <c r="D15" s="1408"/>
    </row>
    <row r="16" spans="1:4" ht="12.75">
      <c r="A16" s="82"/>
      <c r="B16" s="83"/>
      <c r="C16" s="83"/>
      <c r="D16" s="83"/>
    </row>
    <row r="17" spans="1:4" ht="12.75">
      <c r="A17" s="1"/>
      <c r="B17" s="83"/>
      <c r="C17" s="81"/>
      <c r="D17" s="314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346</v>
      </c>
      <c r="B19" s="1340"/>
      <c r="C19" s="1340"/>
      <c r="D19" s="1340"/>
    </row>
    <row r="20" spans="1:4" ht="12.75">
      <c r="A20" s="82"/>
      <c r="B20" s="82"/>
      <c r="C20" s="103"/>
      <c r="D20" s="82"/>
    </row>
    <row r="21" spans="1:4" ht="26.25" thickBot="1">
      <c r="A21" s="501" t="s">
        <v>892</v>
      </c>
      <c r="B21" s="502" t="s">
        <v>667</v>
      </c>
      <c r="C21" s="499" t="s">
        <v>673</v>
      </c>
      <c r="D21" s="503" t="s">
        <v>793</v>
      </c>
    </row>
    <row r="22" spans="1:4" ht="16.5" thickBot="1">
      <c r="A22" s="477" t="s">
        <v>913</v>
      </c>
      <c r="B22" s="504"/>
      <c r="C22" s="456"/>
      <c r="D22" s="676"/>
    </row>
    <row r="23" spans="1:4" ht="26.25">
      <c r="A23" s="678" t="s">
        <v>105</v>
      </c>
      <c r="B23" s="517" t="s">
        <v>652</v>
      </c>
      <c r="C23" s="500"/>
      <c r="D23" s="518">
        <v>109832.52</v>
      </c>
    </row>
    <row r="24" spans="1:4" ht="15">
      <c r="A24" s="389" t="s">
        <v>654</v>
      </c>
      <c r="B24" s="398" t="s">
        <v>656</v>
      </c>
      <c r="C24" s="398" t="s">
        <v>801</v>
      </c>
      <c r="D24" s="509">
        <v>64348.98</v>
      </c>
    </row>
    <row r="25" spans="1:4" ht="24.75">
      <c r="A25" s="537" t="s">
        <v>14</v>
      </c>
      <c r="B25" s="397" t="s">
        <v>657</v>
      </c>
      <c r="C25" s="506"/>
      <c r="D25" s="507">
        <v>80444.56</v>
      </c>
    </row>
    <row r="26" spans="1:4" ht="29.25">
      <c r="A26" s="389" t="s">
        <v>395</v>
      </c>
      <c r="B26" s="399"/>
      <c r="C26" s="508"/>
      <c r="D26" s="509">
        <v>7809.78</v>
      </c>
    </row>
    <row r="27" spans="1:4" ht="15.75" thickBot="1">
      <c r="A27" s="390" t="s">
        <v>799</v>
      </c>
      <c r="B27" s="609" t="s">
        <v>661</v>
      </c>
      <c r="C27" s="610"/>
      <c r="D27" s="595">
        <v>93763.68</v>
      </c>
    </row>
    <row r="28" spans="1:4" ht="15.75" thickBot="1">
      <c r="A28" s="805" t="s">
        <v>701</v>
      </c>
      <c r="B28" s="1118"/>
      <c r="C28" s="854"/>
      <c r="D28" s="928">
        <v>356199.52</v>
      </c>
    </row>
    <row r="29" spans="1:4" ht="15.75" thickBot="1">
      <c r="A29" s="680" t="s">
        <v>514</v>
      </c>
      <c r="B29" s="461"/>
      <c r="C29" s="462"/>
      <c r="D29" s="463"/>
    </row>
    <row r="30" spans="1:4" ht="24">
      <c r="A30" s="1228" t="s">
        <v>194</v>
      </c>
      <c r="B30" s="514" t="s">
        <v>920</v>
      </c>
      <c r="C30" s="515" t="s">
        <v>673</v>
      </c>
      <c r="D30" s="516" t="s">
        <v>793</v>
      </c>
    </row>
    <row r="31" spans="1:4" ht="15">
      <c r="A31" s="385" t="s">
        <v>109</v>
      </c>
      <c r="B31" s="365" t="s">
        <v>40</v>
      </c>
      <c r="C31" s="602">
        <v>4</v>
      </c>
      <c r="D31" s="623">
        <v>4779.57</v>
      </c>
    </row>
    <row r="32" spans="1:4" ht="15">
      <c r="A32" s="369" t="s">
        <v>60</v>
      </c>
      <c r="B32" s="365" t="s">
        <v>817</v>
      </c>
      <c r="C32" s="602">
        <v>1</v>
      </c>
      <c r="D32" s="623">
        <v>3354.02</v>
      </c>
    </row>
    <row r="33" spans="1:4" ht="15">
      <c r="A33" s="377" t="s">
        <v>11</v>
      </c>
      <c r="B33" s="570"/>
      <c r="C33" s="571"/>
      <c r="D33" s="434">
        <v>72558.64</v>
      </c>
    </row>
    <row r="34" spans="1:4" ht="15">
      <c r="A34" s="377" t="s">
        <v>175</v>
      </c>
      <c r="B34" s="570"/>
      <c r="C34" s="602"/>
      <c r="D34" s="623">
        <v>160651</v>
      </c>
    </row>
    <row r="35" spans="1:4" ht="18.75" customHeight="1" thickBot="1">
      <c r="A35" s="390" t="s">
        <v>697</v>
      </c>
      <c r="B35" s="748"/>
      <c r="C35" s="674">
        <v>1</v>
      </c>
      <c r="D35" s="459">
        <v>1522.1</v>
      </c>
    </row>
    <row r="36" spans="1:4" ht="15.75" thickBot="1">
      <c r="A36" s="806" t="s">
        <v>701</v>
      </c>
      <c r="B36" s="811"/>
      <c r="C36" s="1013"/>
      <c r="D36" s="858">
        <v>242865.33</v>
      </c>
    </row>
    <row r="37" spans="1:4" ht="14.25">
      <c r="A37" s="465" t="s">
        <v>445</v>
      </c>
      <c r="B37" s="800"/>
      <c r="C37" s="377"/>
      <c r="D37" s="377"/>
    </row>
    <row r="38" spans="1:4" ht="15">
      <c r="A38" s="377" t="s">
        <v>480</v>
      </c>
      <c r="B38" s="365" t="s">
        <v>40</v>
      </c>
      <c r="C38" s="359">
        <v>3</v>
      </c>
      <c r="D38" s="532">
        <v>16351.34</v>
      </c>
    </row>
    <row r="39" spans="1:4" ht="15">
      <c r="A39" s="359" t="s">
        <v>324</v>
      </c>
      <c r="B39" s="365" t="s">
        <v>52</v>
      </c>
      <c r="C39" s="369">
        <v>2</v>
      </c>
      <c r="D39" s="541">
        <v>7222.58</v>
      </c>
    </row>
    <row r="40" spans="1:4" ht="15">
      <c r="A40" s="359" t="s">
        <v>239</v>
      </c>
      <c r="B40" s="677" t="s">
        <v>478</v>
      </c>
      <c r="C40" s="363">
        <v>2</v>
      </c>
      <c r="D40" s="555">
        <v>2089.5</v>
      </c>
    </row>
    <row r="41" spans="1:4" ht="15">
      <c r="A41" s="359" t="s">
        <v>515</v>
      </c>
      <c r="B41" s="677"/>
      <c r="C41" s="363">
        <v>1</v>
      </c>
      <c r="D41" s="425">
        <v>4286</v>
      </c>
    </row>
    <row r="42" spans="1:4" ht="15">
      <c r="A42" s="359" t="s">
        <v>480</v>
      </c>
      <c r="B42" s="677" t="s">
        <v>478</v>
      </c>
      <c r="C42" s="363">
        <v>1</v>
      </c>
      <c r="D42" s="425">
        <v>7083</v>
      </c>
    </row>
    <row r="43" spans="1:4" ht="15.75" thickBot="1">
      <c r="A43" s="807" t="s">
        <v>455</v>
      </c>
      <c r="B43" s="758"/>
      <c r="C43" s="807">
        <v>13</v>
      </c>
      <c r="D43" s="425">
        <v>11786.35</v>
      </c>
    </row>
    <row r="44" spans="1:4" ht="15.75" thickBot="1">
      <c r="A44" s="806" t="s">
        <v>701</v>
      </c>
      <c r="B44" s="811"/>
      <c r="C44" s="1013"/>
      <c r="D44" s="533">
        <v>48818.77</v>
      </c>
    </row>
    <row r="45" spans="1:4" ht="15">
      <c r="A45" s="808" t="s">
        <v>516</v>
      </c>
      <c r="B45" s="570"/>
      <c r="C45" s="377"/>
      <c r="D45" s="810"/>
    </row>
    <row r="46" spans="1:4" ht="15">
      <c r="A46" s="359" t="s">
        <v>423</v>
      </c>
      <c r="B46" s="365" t="s">
        <v>40</v>
      </c>
      <c r="C46" s="359">
        <v>3</v>
      </c>
      <c r="D46" s="425">
        <v>4595.71</v>
      </c>
    </row>
    <row r="47" spans="1:4" ht="15">
      <c r="A47" s="359" t="s">
        <v>197</v>
      </c>
      <c r="B47" s="365"/>
      <c r="C47" s="359">
        <v>4</v>
      </c>
      <c r="D47" s="425">
        <v>2264.23</v>
      </c>
    </row>
    <row r="48" spans="1:4" ht="15.75" thickBot="1">
      <c r="A48" s="807" t="s">
        <v>235</v>
      </c>
      <c r="B48" s="758" t="s">
        <v>211</v>
      </c>
      <c r="C48" s="807">
        <v>1</v>
      </c>
      <c r="D48" s="425">
        <v>2750.94</v>
      </c>
    </row>
    <row r="49" spans="1:4" ht="15.75" thickBot="1">
      <c r="A49" s="806" t="s">
        <v>701</v>
      </c>
      <c r="B49" s="811"/>
      <c r="C49" s="1013"/>
      <c r="D49" s="533">
        <v>9610.88</v>
      </c>
    </row>
    <row r="50" spans="1:4" ht="15">
      <c r="A50" s="808" t="s">
        <v>424</v>
      </c>
      <c r="B50" s="570"/>
      <c r="C50" s="377"/>
      <c r="D50" s="810"/>
    </row>
    <row r="51" spans="1:4" ht="15">
      <c r="A51" s="359" t="s">
        <v>221</v>
      </c>
      <c r="B51" s="365" t="s">
        <v>40</v>
      </c>
      <c r="C51" s="359">
        <v>1</v>
      </c>
      <c r="D51" s="425">
        <v>1618.05</v>
      </c>
    </row>
    <row r="52" spans="1:4" ht="15.75" thickBot="1">
      <c r="A52" s="807" t="s">
        <v>695</v>
      </c>
      <c r="B52" s="758"/>
      <c r="C52" s="807">
        <v>1</v>
      </c>
      <c r="D52" s="425">
        <v>942.87</v>
      </c>
    </row>
    <row r="53" spans="1:4" ht="15.75" thickBot="1">
      <c r="A53" s="806" t="s">
        <v>701</v>
      </c>
      <c r="B53" s="811"/>
      <c r="C53" s="1013"/>
      <c r="D53" s="533">
        <v>2560.92</v>
      </c>
    </row>
    <row r="54" spans="1:4" ht="15">
      <c r="A54" s="808" t="s">
        <v>425</v>
      </c>
      <c r="B54" s="570"/>
      <c r="C54" s="377"/>
      <c r="D54" s="810"/>
    </row>
    <row r="55" spans="1:4" ht="15">
      <c r="A55" s="359" t="s">
        <v>882</v>
      </c>
      <c r="B55" s="365"/>
      <c r="C55" s="359">
        <v>7</v>
      </c>
      <c r="D55" s="425">
        <v>3959.61</v>
      </c>
    </row>
    <row r="56" spans="1:4" ht="15.75" thickBot="1">
      <c r="A56" s="807" t="s">
        <v>479</v>
      </c>
      <c r="B56" s="758" t="s">
        <v>52</v>
      </c>
      <c r="C56" s="807">
        <v>4</v>
      </c>
      <c r="D56" s="425">
        <v>4928.67</v>
      </c>
    </row>
    <row r="57" spans="1:4" ht="15.75" thickBot="1">
      <c r="A57" s="806" t="s">
        <v>701</v>
      </c>
      <c r="B57" s="811"/>
      <c r="C57" s="1013"/>
      <c r="D57" s="533">
        <v>8888.28</v>
      </c>
    </row>
    <row r="58" spans="1:4" ht="15">
      <c r="A58" s="808" t="s">
        <v>386</v>
      </c>
      <c r="B58" s="570"/>
      <c r="C58" s="377"/>
      <c r="D58" s="810"/>
    </row>
    <row r="59" spans="1:4" ht="15">
      <c r="A59" s="359" t="s">
        <v>517</v>
      </c>
      <c r="B59" s="365" t="s">
        <v>40</v>
      </c>
      <c r="C59" s="359">
        <v>10</v>
      </c>
      <c r="D59" s="425">
        <v>6239.69</v>
      </c>
    </row>
    <row r="60" spans="1:4" ht="15">
      <c r="A60" s="359" t="s">
        <v>415</v>
      </c>
      <c r="B60" s="365" t="s">
        <v>52</v>
      </c>
      <c r="C60" s="359">
        <v>5</v>
      </c>
      <c r="D60" s="425">
        <v>6269.57</v>
      </c>
    </row>
    <row r="61" spans="1:4" ht="15">
      <c r="A61" s="359" t="s">
        <v>499</v>
      </c>
      <c r="B61" s="365"/>
      <c r="C61" s="359">
        <v>21</v>
      </c>
      <c r="D61" s="425">
        <v>26137.68</v>
      </c>
    </row>
    <row r="62" spans="1:4" ht="15">
      <c r="A62" s="359" t="s">
        <v>90</v>
      </c>
      <c r="B62" s="365" t="s">
        <v>40</v>
      </c>
      <c r="C62" s="359">
        <v>1</v>
      </c>
      <c r="D62" s="425">
        <v>2657.47</v>
      </c>
    </row>
    <row r="63" spans="1:4" ht="15">
      <c r="A63" s="359" t="s">
        <v>518</v>
      </c>
      <c r="B63" s="365" t="s">
        <v>40</v>
      </c>
      <c r="C63" s="359">
        <v>1</v>
      </c>
      <c r="D63" s="425">
        <v>367.13</v>
      </c>
    </row>
    <row r="64" spans="1:4" ht="15">
      <c r="A64" s="359" t="s">
        <v>519</v>
      </c>
      <c r="B64" s="365" t="s">
        <v>40</v>
      </c>
      <c r="C64" s="359">
        <v>1</v>
      </c>
      <c r="D64" s="425">
        <v>97.07</v>
      </c>
    </row>
    <row r="65" spans="1:4" ht="15">
      <c r="A65" s="807" t="s">
        <v>66</v>
      </c>
      <c r="B65" s="758"/>
      <c r="C65" s="807">
        <v>1</v>
      </c>
      <c r="D65" s="425">
        <v>320.89</v>
      </c>
    </row>
    <row r="66" spans="1:4" ht="15.75" thickBot="1">
      <c r="A66" s="807" t="s">
        <v>520</v>
      </c>
      <c r="B66" s="758"/>
      <c r="C66" s="807">
        <v>1</v>
      </c>
      <c r="D66" s="425">
        <v>83359</v>
      </c>
    </row>
    <row r="67" spans="1:4" ht="15.75" thickBot="1">
      <c r="A67" s="806" t="s">
        <v>701</v>
      </c>
      <c r="B67" s="811"/>
      <c r="C67" s="1013"/>
      <c r="D67" s="533">
        <v>125448.5</v>
      </c>
    </row>
    <row r="68" spans="1:4" ht="15">
      <c r="A68" s="377"/>
      <c r="B68" s="570"/>
      <c r="C68" s="377"/>
      <c r="D68" s="810"/>
    </row>
    <row r="69" spans="1:4" ht="15.75" thickBot="1">
      <c r="A69" s="807"/>
      <c r="B69" s="758"/>
      <c r="C69" s="807"/>
      <c r="D69" s="425"/>
    </row>
    <row r="70" spans="1:4" ht="15.75" thickBot="1">
      <c r="A70" s="806" t="s">
        <v>375</v>
      </c>
      <c r="B70" s="811"/>
      <c r="C70" s="1013"/>
      <c r="D70" s="533">
        <v>438192.68</v>
      </c>
    </row>
    <row r="71" spans="1:4" ht="15">
      <c r="A71" s="377"/>
      <c r="B71" s="570"/>
      <c r="C71" s="385"/>
      <c r="D71" s="947"/>
    </row>
    <row r="72" spans="1:4" ht="15">
      <c r="A72" s="944" t="s">
        <v>743</v>
      </c>
      <c r="B72" s="365"/>
      <c r="C72" s="369"/>
      <c r="D72" s="869">
        <v>23827.99</v>
      </c>
    </row>
    <row r="73" spans="1:4" ht="15">
      <c r="A73" s="944" t="s">
        <v>904</v>
      </c>
      <c r="B73" s="365"/>
      <c r="C73" s="369"/>
      <c r="D73" s="869">
        <v>50032.46</v>
      </c>
    </row>
    <row r="74" spans="1:4" ht="15">
      <c r="A74" s="808" t="s">
        <v>735</v>
      </c>
      <c r="B74" s="757"/>
      <c r="C74" s="369"/>
      <c r="D74" s="428">
        <v>187099.02</v>
      </c>
    </row>
    <row r="75" spans="1:4" ht="15.75" thickBot="1">
      <c r="A75" s="526"/>
      <c r="B75" s="934"/>
      <c r="C75" s="519"/>
      <c r="D75" s="541"/>
    </row>
    <row r="76" spans="1:4" ht="15.75" thickBot="1">
      <c r="A76" s="806" t="s">
        <v>701</v>
      </c>
      <c r="B76" s="811"/>
      <c r="C76" s="907"/>
      <c r="D76" s="858">
        <v>1055351.67</v>
      </c>
    </row>
    <row r="77" spans="1:4" ht="12.75">
      <c r="A77" s="1"/>
      <c r="B77" s="1"/>
      <c r="C77" s="1"/>
      <c r="D77" s="1"/>
    </row>
    <row r="78" ht="17.25" customHeight="1"/>
    <row r="79" spans="1:4" ht="17.25" customHeight="1">
      <c r="A79" s="370"/>
      <c r="B79" s="370"/>
      <c r="C79" s="370"/>
      <c r="D79" s="371"/>
    </row>
    <row r="80" spans="1:4" ht="17.25" customHeight="1">
      <c r="A80" s="370"/>
      <c r="B80" s="370"/>
      <c r="C80" s="370"/>
      <c r="D80" s="371"/>
    </row>
    <row r="81" spans="1:4" ht="17.25" customHeight="1">
      <c r="A81" s="764"/>
      <c r="B81" s="358"/>
      <c r="C81" s="359"/>
      <c r="D81" s="1262"/>
    </row>
    <row r="82" spans="1:4" ht="17.25" customHeight="1">
      <c r="A82" s="1251" t="s">
        <v>568</v>
      </c>
      <c r="B82" s="1257"/>
      <c r="C82" s="467"/>
      <c r="D82" s="467">
        <v>0</v>
      </c>
    </row>
    <row r="83" spans="1:4" ht="14.25" customHeight="1">
      <c r="A83" s="1332" t="s">
        <v>569</v>
      </c>
      <c r="B83" s="1332"/>
      <c r="C83" s="628"/>
      <c r="D83" s="608">
        <v>578474.36</v>
      </c>
    </row>
    <row r="84" spans="1:4" ht="15">
      <c r="A84" s="1332" t="s">
        <v>570</v>
      </c>
      <c r="B84" s="1332"/>
      <c r="C84" s="607"/>
      <c r="D84" s="608">
        <v>1055351.67</v>
      </c>
    </row>
    <row r="85" spans="1:4" ht="15">
      <c r="A85" s="1333" t="s">
        <v>571</v>
      </c>
      <c r="B85" s="1333"/>
      <c r="C85" s="629"/>
      <c r="D85" s="629">
        <v>-476877.31</v>
      </c>
    </row>
    <row r="86" spans="1:4" ht="15">
      <c r="A86" s="1332" t="s">
        <v>179</v>
      </c>
      <c r="B86" s="1332"/>
      <c r="C86" s="1258"/>
      <c r="D86" s="630">
        <v>-476877.31</v>
      </c>
    </row>
    <row r="87" spans="1:4" ht="15">
      <c r="A87" s="538"/>
      <c r="B87" s="538"/>
      <c r="C87" s="1259"/>
      <c r="D87" s="1260"/>
    </row>
    <row r="88" spans="1:4" ht="15">
      <c r="A88" s="538"/>
      <c r="B88" s="538"/>
      <c r="C88" s="1259"/>
      <c r="D88" s="1260"/>
    </row>
    <row r="89" spans="1:4" ht="15">
      <c r="A89" s="538"/>
      <c r="B89" s="538"/>
      <c r="C89" s="1259"/>
      <c r="D89" s="1260"/>
    </row>
    <row r="90" spans="1:4" ht="15">
      <c r="A90" s="538" t="s">
        <v>180</v>
      </c>
      <c r="B90" s="538"/>
      <c r="C90" s="1259" t="s">
        <v>573</v>
      </c>
      <c r="D90" s="1260"/>
    </row>
    <row r="91" spans="1:4" ht="15">
      <c r="A91" s="538"/>
      <c r="B91" s="538"/>
      <c r="C91" s="1259"/>
      <c r="D91" s="1260"/>
    </row>
    <row r="92" spans="1:4" ht="12.75">
      <c r="A92" s="735" t="s">
        <v>357</v>
      </c>
      <c r="B92" s="1"/>
      <c r="C92" s="1"/>
      <c r="D92" s="1"/>
    </row>
    <row r="93" spans="1:4" ht="12.75">
      <c r="A93" s="735" t="s">
        <v>906</v>
      </c>
      <c r="B93" s="1"/>
      <c r="C93" s="1"/>
      <c r="D93" s="1"/>
    </row>
    <row r="94" spans="1:4" ht="12.75">
      <c r="A94" s="735" t="s">
        <v>358</v>
      </c>
      <c r="B94" s="1"/>
      <c r="C94" s="1"/>
      <c r="D94" s="1"/>
    </row>
    <row r="95" spans="1:4" ht="12.75">
      <c r="A95" s="1"/>
      <c r="B95" s="1"/>
      <c r="C95" s="1"/>
      <c r="D95" s="1"/>
    </row>
  </sheetData>
  <sheetProtection/>
  <mergeCells count="18">
    <mergeCell ref="C11:D11"/>
    <mergeCell ref="A18:D18"/>
    <mergeCell ref="A19:D19"/>
    <mergeCell ref="C12:D12"/>
    <mergeCell ref="C13:D13"/>
    <mergeCell ref="C14:D14"/>
    <mergeCell ref="C15:D15"/>
    <mergeCell ref="A7:B7"/>
    <mergeCell ref="A9:B10"/>
    <mergeCell ref="C9:D10"/>
    <mergeCell ref="A2:B2"/>
    <mergeCell ref="A3:B3"/>
    <mergeCell ref="A4:B4"/>
    <mergeCell ref="A5:B5"/>
    <mergeCell ref="A83:B83"/>
    <mergeCell ref="A84:B84"/>
    <mergeCell ref="A85:B85"/>
    <mergeCell ref="A86:B86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99CC"/>
  </sheetPr>
  <dimension ref="A3:D87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811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7" t="s">
        <v>643</v>
      </c>
      <c r="D11" s="442" t="s">
        <v>649</v>
      </c>
    </row>
    <row r="12" spans="1:4" ht="12.75">
      <c r="A12" s="1420"/>
      <c r="B12" s="1409"/>
      <c r="C12" s="1409"/>
      <c r="D12" s="558" t="s">
        <v>1022</v>
      </c>
    </row>
    <row r="13" spans="1:4" ht="15">
      <c r="A13" s="475"/>
      <c r="B13" s="584"/>
      <c r="C13" s="1409"/>
      <c r="D13" s="558" t="s">
        <v>645</v>
      </c>
    </row>
    <row r="14" spans="1:4" ht="14.25">
      <c r="A14" s="575"/>
      <c r="B14" s="585"/>
      <c r="C14" s="581" t="s">
        <v>562</v>
      </c>
      <c r="D14" s="559"/>
    </row>
    <row r="15" spans="1:4" ht="15">
      <c r="A15" s="582" t="s">
        <v>347</v>
      </c>
      <c r="B15" s="583"/>
      <c r="C15" s="576">
        <v>64421.09</v>
      </c>
      <c r="D15" s="577">
        <v>12283.15</v>
      </c>
    </row>
    <row r="16" spans="1:4" ht="14.25">
      <c r="A16" s="471" t="s">
        <v>486</v>
      </c>
      <c r="B16" s="473"/>
      <c r="C16" s="497">
        <v>266209.25</v>
      </c>
      <c r="D16" s="466">
        <v>62930</v>
      </c>
    </row>
    <row r="17" spans="1:4" ht="14.25">
      <c r="A17" s="470" t="s">
        <v>647</v>
      </c>
      <c r="B17" s="474"/>
      <c r="C17" s="586">
        <v>280800.94</v>
      </c>
      <c r="D17" s="587">
        <v>68598.98</v>
      </c>
    </row>
    <row r="18" spans="1:4" ht="15">
      <c r="A18" s="475" t="s">
        <v>348</v>
      </c>
      <c r="B18" s="476"/>
      <c r="C18" s="590">
        <f>C15+C16-C17</f>
        <v>49829.399999999965</v>
      </c>
      <c r="D18" s="590">
        <f>D15+D16-D17</f>
        <v>6614.169999999998</v>
      </c>
    </row>
    <row r="19" spans="1:4" ht="14.25">
      <c r="A19" s="470" t="s">
        <v>540</v>
      </c>
      <c r="B19" s="474"/>
      <c r="C19" s="589">
        <v>561982.11</v>
      </c>
      <c r="D19" s="588"/>
    </row>
    <row r="20" spans="2:4" ht="12.75">
      <c r="B20" s="83"/>
      <c r="C20" s="579"/>
      <c r="D20" s="580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6.25" thickBot="1">
      <c r="A24" s="501" t="s">
        <v>892</v>
      </c>
      <c r="B24" s="502" t="s">
        <v>667</v>
      </c>
      <c r="C24" s="499" t="s">
        <v>673</v>
      </c>
      <c r="D24" s="503" t="s">
        <v>793</v>
      </c>
    </row>
    <row r="25" spans="1:4" ht="16.5" thickBot="1">
      <c r="A25" s="477" t="s">
        <v>913</v>
      </c>
      <c r="B25" s="504"/>
      <c r="C25" s="456"/>
      <c r="D25" s="676"/>
    </row>
    <row r="26" spans="1:4" ht="26.25">
      <c r="A26" s="678" t="s">
        <v>105</v>
      </c>
      <c r="B26" s="517" t="s">
        <v>652</v>
      </c>
      <c r="C26" s="500"/>
      <c r="D26" s="518">
        <v>54234.74</v>
      </c>
    </row>
    <row r="27" spans="1:4" ht="15">
      <c r="A27" s="389" t="s">
        <v>654</v>
      </c>
      <c r="B27" s="398" t="s">
        <v>656</v>
      </c>
      <c r="C27" s="398" t="s">
        <v>801</v>
      </c>
      <c r="D27" s="509">
        <v>31775.2</v>
      </c>
    </row>
    <row r="28" spans="1:4" ht="24.75">
      <c r="A28" s="537" t="s">
        <v>14</v>
      </c>
      <c r="B28" s="397" t="s">
        <v>657</v>
      </c>
      <c r="C28" s="506"/>
      <c r="D28" s="507">
        <v>39723.12</v>
      </c>
    </row>
    <row r="29" spans="1:4" ht="15">
      <c r="A29" s="389" t="s">
        <v>521</v>
      </c>
      <c r="B29" s="399"/>
      <c r="C29" s="508"/>
      <c r="D29" s="509">
        <v>6284.43</v>
      </c>
    </row>
    <row r="30" spans="1:4" ht="15.75" thickBot="1">
      <c r="A30" s="390" t="s">
        <v>799</v>
      </c>
      <c r="B30" s="399"/>
      <c r="C30" s="508"/>
      <c r="D30" s="509">
        <v>62853.78</v>
      </c>
    </row>
    <row r="31" spans="1:4" ht="15.75" thickBot="1">
      <c r="A31" s="805" t="s">
        <v>701</v>
      </c>
      <c r="B31" s="980"/>
      <c r="C31" s="981"/>
      <c r="D31" s="839">
        <v>194871.27</v>
      </c>
    </row>
    <row r="32" spans="1:4" ht="15.75" thickBot="1">
      <c r="A32" s="487" t="s">
        <v>914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77" t="s">
        <v>522</v>
      </c>
      <c r="B34" s="570"/>
      <c r="C34" s="602"/>
      <c r="D34" s="434">
        <v>59087.47</v>
      </c>
    </row>
    <row r="35" spans="1:4" ht="15">
      <c r="A35" s="377" t="s">
        <v>11</v>
      </c>
      <c r="B35" s="570"/>
      <c r="C35" s="571"/>
      <c r="D35" s="434">
        <v>43409.66</v>
      </c>
    </row>
    <row r="36" spans="1:4" ht="15.75" thickBot="1">
      <c r="A36" s="390" t="s">
        <v>60</v>
      </c>
      <c r="B36" s="748" t="s">
        <v>817</v>
      </c>
      <c r="C36" s="674">
        <v>1</v>
      </c>
      <c r="D36" s="459">
        <v>4289.61</v>
      </c>
    </row>
    <row r="37" spans="1:4" ht="15.75" thickBot="1">
      <c r="A37" s="806" t="s">
        <v>701</v>
      </c>
      <c r="B37" s="957"/>
      <c r="C37" s="1013"/>
      <c r="D37" s="858">
        <v>106786.74</v>
      </c>
    </row>
    <row r="38" spans="1:4" ht="14.25">
      <c r="A38" s="465" t="s">
        <v>445</v>
      </c>
      <c r="B38" s="376"/>
      <c r="C38" s="377"/>
      <c r="D38" s="377"/>
    </row>
    <row r="39" spans="1:4" ht="15">
      <c r="A39" s="377" t="s">
        <v>368</v>
      </c>
      <c r="B39" s="358" t="s">
        <v>111</v>
      </c>
      <c r="C39" s="359">
        <v>1</v>
      </c>
      <c r="D39" s="422">
        <v>339.78</v>
      </c>
    </row>
    <row r="40" spans="1:4" ht="15">
      <c r="A40" s="359" t="s">
        <v>239</v>
      </c>
      <c r="B40" s="361" t="s">
        <v>40</v>
      </c>
      <c r="C40" s="363">
        <v>4</v>
      </c>
      <c r="D40" s="555">
        <v>4647.18</v>
      </c>
    </row>
    <row r="41" spans="1:4" ht="15">
      <c r="A41" s="359" t="s">
        <v>523</v>
      </c>
      <c r="B41" s="361" t="s">
        <v>40</v>
      </c>
      <c r="C41" s="363">
        <v>1</v>
      </c>
      <c r="D41" s="555">
        <v>154.29</v>
      </c>
    </row>
    <row r="42" spans="1:4" ht="15">
      <c r="A42" s="359" t="s">
        <v>378</v>
      </c>
      <c r="B42" s="361"/>
      <c r="C42" s="363">
        <v>1</v>
      </c>
      <c r="D42" s="425">
        <v>26603</v>
      </c>
    </row>
    <row r="43" spans="1:4" ht="15">
      <c r="A43" s="359" t="s">
        <v>393</v>
      </c>
      <c r="B43" s="358" t="s">
        <v>40</v>
      </c>
      <c r="C43" s="363">
        <v>7</v>
      </c>
      <c r="D43" s="425">
        <v>3459.8</v>
      </c>
    </row>
    <row r="44" spans="1:4" ht="15.75" thickBot="1">
      <c r="A44" s="807" t="s">
        <v>225</v>
      </c>
      <c r="B44" s="1207" t="s">
        <v>372</v>
      </c>
      <c r="C44" s="1014">
        <v>1</v>
      </c>
      <c r="D44" s="425">
        <v>7683.52</v>
      </c>
    </row>
    <row r="45" spans="1:4" ht="15.75" thickBot="1">
      <c r="A45" s="806" t="s">
        <v>701</v>
      </c>
      <c r="B45" s="1229"/>
      <c r="C45" s="1017"/>
      <c r="D45" s="533">
        <v>42887.57</v>
      </c>
    </row>
    <row r="46" spans="1:4" ht="15">
      <c r="A46" s="808" t="s">
        <v>780</v>
      </c>
      <c r="B46" s="433"/>
      <c r="C46" s="385"/>
      <c r="D46" s="947"/>
    </row>
    <row r="47" spans="1:4" ht="15">
      <c r="A47" s="359" t="s">
        <v>235</v>
      </c>
      <c r="B47" s="410" t="s">
        <v>211</v>
      </c>
      <c r="C47" s="363">
        <v>6</v>
      </c>
      <c r="D47" s="555">
        <v>38316.94</v>
      </c>
    </row>
    <row r="48" spans="1:4" ht="15">
      <c r="A48" s="359" t="s">
        <v>690</v>
      </c>
      <c r="B48" s="410" t="s">
        <v>40</v>
      </c>
      <c r="C48" s="363">
        <v>3</v>
      </c>
      <c r="D48" s="555">
        <v>5012.33</v>
      </c>
    </row>
    <row r="49" spans="1:4" ht="15">
      <c r="A49" s="359" t="s">
        <v>423</v>
      </c>
      <c r="B49" s="410" t="s">
        <v>40</v>
      </c>
      <c r="C49" s="363">
        <v>5</v>
      </c>
      <c r="D49" s="555">
        <v>12910.46</v>
      </c>
    </row>
    <row r="50" spans="1:4" ht="15.75" thickBot="1">
      <c r="A50" s="807" t="s">
        <v>197</v>
      </c>
      <c r="B50" s="1207"/>
      <c r="C50" s="1014">
        <v>4</v>
      </c>
      <c r="D50" s="425">
        <v>2009.99</v>
      </c>
    </row>
    <row r="51" spans="1:4" ht="15.75" thickBot="1">
      <c r="A51" s="806" t="s">
        <v>701</v>
      </c>
      <c r="B51" s="1229"/>
      <c r="C51" s="1017"/>
      <c r="D51" s="533">
        <v>58249.72</v>
      </c>
    </row>
    <row r="52" spans="1:4" ht="15">
      <c r="A52" s="808" t="s">
        <v>361</v>
      </c>
      <c r="B52" s="433"/>
      <c r="C52" s="385"/>
      <c r="D52" s="947"/>
    </row>
    <row r="53" spans="1:4" ht="15.75" thickBot="1">
      <c r="A53" s="799" t="s">
        <v>196</v>
      </c>
      <c r="B53" s="924"/>
      <c r="C53" s="1016">
        <v>2</v>
      </c>
      <c r="D53" s="810">
        <v>2239.43</v>
      </c>
    </row>
    <row r="54" spans="1:4" ht="15.75" thickBot="1">
      <c r="A54" s="806" t="s">
        <v>701</v>
      </c>
      <c r="B54" s="1229"/>
      <c r="C54" s="1017"/>
      <c r="D54" s="533">
        <v>2239.43</v>
      </c>
    </row>
    <row r="55" spans="1:4" ht="15">
      <c r="A55" s="808" t="s">
        <v>781</v>
      </c>
      <c r="B55" s="433"/>
      <c r="C55" s="385"/>
      <c r="D55" s="947"/>
    </row>
    <row r="56" spans="1:4" ht="15">
      <c r="A56" s="377" t="s">
        <v>886</v>
      </c>
      <c r="B56" s="433" t="s">
        <v>40</v>
      </c>
      <c r="C56" s="385">
        <v>5</v>
      </c>
      <c r="D56" s="947">
        <v>1971.48</v>
      </c>
    </row>
    <row r="57" spans="1:4" ht="15">
      <c r="A57" s="377" t="s">
        <v>524</v>
      </c>
      <c r="B57" s="433" t="s">
        <v>372</v>
      </c>
      <c r="C57" s="385">
        <v>1</v>
      </c>
      <c r="D57" s="947">
        <v>256.96</v>
      </c>
    </row>
    <row r="58" spans="1:4" ht="15.75" thickBot="1">
      <c r="A58" s="799" t="s">
        <v>692</v>
      </c>
      <c r="B58" s="433"/>
      <c r="C58" s="1016">
        <v>2</v>
      </c>
      <c r="D58" s="810">
        <v>798.81</v>
      </c>
    </row>
    <row r="59" spans="1:4" ht="15.75" thickBot="1">
      <c r="A59" s="806" t="s">
        <v>701</v>
      </c>
      <c r="B59" s="1230"/>
      <c r="C59" s="1231"/>
      <c r="D59" s="533">
        <v>3027.25</v>
      </c>
    </row>
    <row r="60" spans="1:4" ht="15">
      <c r="A60" s="377"/>
      <c r="B60" s="410"/>
      <c r="C60" s="385"/>
      <c r="D60" s="947"/>
    </row>
    <row r="61" spans="1:4" ht="15.75" thickBot="1">
      <c r="A61" s="807"/>
      <c r="B61" s="758"/>
      <c r="C61" s="1014"/>
      <c r="D61" s="425"/>
    </row>
    <row r="62" spans="1:4" ht="15.75" thickBot="1">
      <c r="A62" s="806" t="s">
        <v>375</v>
      </c>
      <c r="B62" s="1018"/>
      <c r="C62" s="1013"/>
      <c r="D62" s="841">
        <v>213190.71</v>
      </c>
    </row>
    <row r="63" spans="1:4" ht="15">
      <c r="A63" s="377"/>
      <c r="B63" s="760"/>
      <c r="C63" s="377"/>
      <c r="D63" s="810"/>
    </row>
    <row r="64" spans="1:4" ht="15">
      <c r="A64" s="359"/>
      <c r="B64" s="364"/>
      <c r="C64" s="359"/>
      <c r="D64" s="425"/>
    </row>
    <row r="65" spans="1:4" ht="15">
      <c r="A65" s="944" t="s">
        <v>743</v>
      </c>
      <c r="B65" s="364"/>
      <c r="C65" s="359"/>
      <c r="D65" s="1089">
        <v>11766.14</v>
      </c>
    </row>
    <row r="66" spans="1:4" ht="15">
      <c r="A66" s="944" t="s">
        <v>904</v>
      </c>
      <c r="B66" s="358"/>
      <c r="C66" s="369"/>
      <c r="D66" s="1077">
        <v>38363.88</v>
      </c>
    </row>
    <row r="67" spans="1:4" ht="15">
      <c r="A67" s="944" t="s">
        <v>735</v>
      </c>
      <c r="B67" s="358"/>
      <c r="C67" s="369"/>
      <c r="D67" s="869">
        <v>103790.11</v>
      </c>
    </row>
    <row r="68" spans="1:4" ht="15" thickBot="1">
      <c r="A68" s="902"/>
      <c r="B68" s="1096"/>
      <c r="C68" s="519"/>
      <c r="D68" s="1077"/>
    </row>
    <row r="69" spans="1:4" ht="15.75" thickBot="1">
      <c r="A69" s="806" t="s">
        <v>36</v>
      </c>
      <c r="B69" s="957"/>
      <c r="C69" s="1023"/>
      <c r="D69" s="858">
        <v>561982.11</v>
      </c>
    </row>
    <row r="70" spans="1:4" ht="15">
      <c r="A70" s="572"/>
      <c r="B70" s="440"/>
      <c r="C70" s="531"/>
      <c r="D70" s="573"/>
    </row>
    <row r="71" spans="1:4" ht="15.75" thickBot="1">
      <c r="A71" s="71"/>
      <c r="B71" s="11"/>
      <c r="C71" s="11"/>
      <c r="D71" s="11"/>
    </row>
    <row r="72" spans="1:4" ht="15">
      <c r="A72" s="944"/>
      <c r="B72" s="1151"/>
      <c r="C72" s="1275" t="s">
        <v>28</v>
      </c>
      <c r="D72" s="1276" t="s">
        <v>30</v>
      </c>
    </row>
    <row r="73" spans="1:4" ht="15.75" thickBot="1">
      <c r="A73" s="944"/>
      <c r="B73" s="1151"/>
      <c r="C73" s="1269" t="s">
        <v>352</v>
      </c>
      <c r="D73" s="1277" t="s">
        <v>1022</v>
      </c>
    </row>
    <row r="74" spans="1:4" ht="14.25">
      <c r="A74" s="764"/>
      <c r="B74" s="358"/>
      <c r="C74" s="377"/>
      <c r="D74" s="1274"/>
    </row>
    <row r="75" spans="1:4" ht="15">
      <c r="A75" s="1251" t="s">
        <v>568</v>
      </c>
      <c r="B75" s="1257"/>
      <c r="C75" s="467">
        <v>0</v>
      </c>
      <c r="D75" s="467">
        <v>6614.17</v>
      </c>
    </row>
    <row r="76" spans="1:4" ht="15">
      <c r="A76" s="1332" t="s">
        <v>569</v>
      </c>
      <c r="B76" s="1332"/>
      <c r="C76" s="628">
        <v>280800.94</v>
      </c>
      <c r="D76" s="608">
        <v>268379.72</v>
      </c>
    </row>
    <row r="77" spans="1:4" ht="15">
      <c r="A77" s="1332" t="s">
        <v>570</v>
      </c>
      <c r="B77" s="1332"/>
      <c r="C77" s="607">
        <v>561982.11</v>
      </c>
      <c r="D77" s="608">
        <v>217800</v>
      </c>
    </row>
    <row r="78" spans="1:4" ht="15">
      <c r="A78" s="1333" t="s">
        <v>571</v>
      </c>
      <c r="B78" s="1333"/>
      <c r="C78" s="629">
        <v>281181.17</v>
      </c>
      <c r="D78" s="629">
        <v>-57193.89</v>
      </c>
    </row>
    <row r="79" spans="1:4" ht="15">
      <c r="A79" s="1332" t="s">
        <v>179</v>
      </c>
      <c r="B79" s="1332"/>
      <c r="C79" s="1258">
        <v>281181.17</v>
      </c>
      <c r="D79" s="630">
        <v>-57193.89</v>
      </c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 t="s">
        <v>180</v>
      </c>
      <c r="B83" s="538"/>
      <c r="C83" s="1259" t="s">
        <v>573</v>
      </c>
      <c r="D83" s="1260"/>
    </row>
    <row r="84" spans="1:4" ht="15">
      <c r="A84" s="538"/>
      <c r="B84" s="538"/>
      <c r="C84" s="1259"/>
      <c r="D84" s="1260"/>
    </row>
    <row r="85" ht="12.75">
      <c r="A85" s="735" t="s">
        <v>357</v>
      </c>
    </row>
    <row r="86" ht="12.75">
      <c r="A86" s="735" t="s">
        <v>906</v>
      </c>
    </row>
    <row r="87" ht="12.75">
      <c r="A87" s="735" t="s">
        <v>358</v>
      </c>
    </row>
  </sheetData>
  <sheetProtection/>
  <mergeCells count="13">
    <mergeCell ref="A21:D21"/>
    <mergeCell ref="A22:D22"/>
    <mergeCell ref="A9:B9"/>
    <mergeCell ref="A11:B12"/>
    <mergeCell ref="C11:C13"/>
    <mergeCell ref="A4:B4"/>
    <mergeCell ref="A5:B5"/>
    <mergeCell ref="A6:B6"/>
    <mergeCell ref="A7:B7"/>
    <mergeCell ref="A76:B76"/>
    <mergeCell ref="A77:B77"/>
    <mergeCell ref="A78:B78"/>
    <mergeCell ref="A79:B79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6">
      <selection activeCell="B15" sqref="B15:C1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3.85156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864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78561.13+1068.52</f>
        <v>79629.65000000001</v>
      </c>
      <c r="E11" s="25">
        <v>13667.02</v>
      </c>
    </row>
    <row r="12" spans="2:5" ht="16.5" thickBot="1">
      <c r="B12" s="1398" t="s">
        <v>646</v>
      </c>
      <c r="C12" s="1399"/>
      <c r="D12" s="25">
        <f>519384.95+4631.24</f>
        <v>524016.19</v>
      </c>
      <c r="E12" s="25">
        <v>23913.21</v>
      </c>
    </row>
    <row r="13" spans="2:5" ht="16.5" thickBot="1">
      <c r="B13" s="1398" t="s">
        <v>647</v>
      </c>
      <c r="C13" s="1399"/>
      <c r="D13" s="25">
        <f>471065.82+4786.12</f>
        <v>475851.94</v>
      </c>
      <c r="E13" s="25">
        <v>31144.67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12919.32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127793.89999999997</v>
      </c>
      <c r="E17" s="25">
        <f>E11+E12-E13</f>
        <v>6435.559999999998</v>
      </c>
    </row>
    <row r="18" spans="2:5" ht="16.5" thickBot="1">
      <c r="B18" s="1398" t="s">
        <v>832</v>
      </c>
      <c r="C18" s="1399"/>
      <c r="D18" s="75">
        <f>E25+E47</f>
        <v>561773.51</v>
      </c>
      <c r="E18" s="73">
        <v>18898.4</v>
      </c>
    </row>
    <row r="19" spans="3:4" ht="12.75">
      <c r="C19" s="83"/>
      <c r="D19" s="81"/>
    </row>
    <row r="20" spans="3:4" ht="12.75">
      <c r="C20" s="83"/>
      <c r="D20" s="81"/>
    </row>
    <row r="21" spans="2:5" ht="18.75">
      <c r="B21" s="1397" t="s">
        <v>650</v>
      </c>
      <c r="C21" s="1397"/>
      <c r="D21" s="1397"/>
      <c r="E21" s="1397"/>
    </row>
    <row r="22" spans="2:5" ht="18.75">
      <c r="B22" s="1397" t="s">
        <v>1009</v>
      </c>
      <c r="C22" s="1397"/>
      <c r="D22" s="1397"/>
      <c r="E22" s="1397"/>
    </row>
    <row r="23" ht="13.5" thickBot="1">
      <c r="D23" s="11"/>
    </row>
    <row r="24" spans="1:5" ht="48" thickBot="1">
      <c r="A24" s="9"/>
      <c r="B24" s="34" t="s">
        <v>651</v>
      </c>
      <c r="C24" s="60" t="s">
        <v>667</v>
      </c>
      <c r="D24" s="59" t="s">
        <v>673</v>
      </c>
      <c r="E24" s="63" t="s">
        <v>793</v>
      </c>
    </row>
    <row r="25" spans="1:5" ht="20.25" thickBot="1">
      <c r="A25" s="9"/>
      <c r="B25" s="35" t="s">
        <v>761</v>
      </c>
      <c r="C25" s="61"/>
      <c r="D25" s="10"/>
      <c r="E25" s="62">
        <f>E26+E32+E34+E35+E45</f>
        <v>450599.38</v>
      </c>
    </row>
    <row r="26" spans="1:5" ht="32.25" thickBot="1">
      <c r="A26" s="11"/>
      <c r="B26" s="67" t="s">
        <v>662</v>
      </c>
      <c r="C26" s="64" t="s">
        <v>652</v>
      </c>
      <c r="D26" s="43"/>
      <c r="E26" s="230">
        <v>140668.72</v>
      </c>
    </row>
    <row r="27" spans="2:5" ht="32.25" hidden="1" thickBot="1">
      <c r="B27" s="67" t="s">
        <v>686</v>
      </c>
      <c r="C27" s="65" t="s">
        <v>661</v>
      </c>
      <c r="D27" s="44"/>
      <c r="E27" s="174"/>
    </row>
    <row r="28" spans="2:5" ht="16.5" hidden="1" thickBot="1">
      <c r="B28" s="67" t="s">
        <v>765</v>
      </c>
      <c r="C28" s="65" t="s">
        <v>661</v>
      </c>
      <c r="D28" s="44"/>
      <c r="E28" s="174"/>
    </row>
    <row r="29" spans="2:5" ht="39.75" hidden="1" thickBot="1">
      <c r="B29" s="67" t="s">
        <v>655</v>
      </c>
      <c r="C29" s="64" t="s">
        <v>653</v>
      </c>
      <c r="D29" s="45"/>
      <c r="E29" s="237"/>
    </row>
    <row r="30" spans="2:5" ht="48" hidden="1" thickBot="1">
      <c r="B30" s="67" t="s">
        <v>796</v>
      </c>
      <c r="C30" s="65" t="s">
        <v>661</v>
      </c>
      <c r="D30" s="44"/>
      <c r="E30" s="174"/>
    </row>
    <row r="31" spans="2:5" ht="48" hidden="1" thickBot="1">
      <c r="B31" s="67" t="s">
        <v>797</v>
      </c>
      <c r="C31" s="65" t="s">
        <v>661</v>
      </c>
      <c r="D31" s="44"/>
      <c r="E31" s="174"/>
    </row>
    <row r="32" spans="2:5" ht="16.5" thickBot="1">
      <c r="B32" s="67" t="s">
        <v>654</v>
      </c>
      <c r="C32" s="48" t="s">
        <v>656</v>
      </c>
      <c r="D32" s="43" t="s">
        <v>801</v>
      </c>
      <c r="E32" s="230">
        <v>71732.4</v>
      </c>
    </row>
    <row r="33" spans="2:5" ht="32.25" hidden="1" thickBot="1">
      <c r="B33" s="67" t="s">
        <v>798</v>
      </c>
      <c r="C33" s="65" t="s">
        <v>661</v>
      </c>
      <c r="D33" s="47" t="s">
        <v>822</v>
      </c>
      <c r="E33" s="174"/>
    </row>
    <row r="34" spans="2:5" ht="27" thickBot="1">
      <c r="B34" s="67" t="s">
        <v>658</v>
      </c>
      <c r="C34" s="64" t="s">
        <v>657</v>
      </c>
      <c r="D34" s="43"/>
      <c r="E34" s="230">
        <v>220655.38</v>
      </c>
    </row>
    <row r="35" spans="2:5" ht="16.5" thickBot="1">
      <c r="B35" s="67" t="s">
        <v>879</v>
      </c>
      <c r="C35" s="64" t="s">
        <v>661</v>
      </c>
      <c r="D35" s="43"/>
      <c r="E35" s="230">
        <f>187.76+2496.05</f>
        <v>2683.8100000000004</v>
      </c>
    </row>
    <row r="36" spans="2:5" ht="32.2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94.5" hidden="1" thickBot="1">
      <c r="B39" s="36" t="s">
        <v>790</v>
      </c>
      <c r="C39" s="65" t="s">
        <v>661</v>
      </c>
      <c r="D39" s="44"/>
      <c r="E39" s="174"/>
    </row>
    <row r="40" spans="2:5" ht="63.75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52.5" hidden="1" thickBot="1">
      <c r="B43" s="67" t="s">
        <v>670</v>
      </c>
      <c r="C43" s="64" t="s">
        <v>684</v>
      </c>
      <c r="D43" s="46"/>
      <c r="E43" s="240"/>
    </row>
    <row r="44" spans="2:5" ht="63.75" hidden="1" thickBot="1">
      <c r="B44" s="68" t="s">
        <v>800</v>
      </c>
      <c r="C44" s="65" t="s">
        <v>661</v>
      </c>
      <c r="D44" s="44"/>
      <c r="E44" s="251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14859.07</v>
      </c>
    </row>
    <row r="46" spans="2:5" ht="32.25" hidden="1" thickBot="1">
      <c r="B46" s="70" t="s">
        <v>802</v>
      </c>
      <c r="C46" s="47"/>
      <c r="D46" s="44"/>
      <c r="E46" s="252"/>
    </row>
    <row r="47" spans="2:5" ht="20.25" thickBot="1">
      <c r="B47" s="14" t="s">
        <v>760</v>
      </c>
      <c r="C47" s="17"/>
      <c r="E47" s="261">
        <f>E61</f>
        <v>111174.12999999999</v>
      </c>
    </row>
    <row r="48" spans="2:5" ht="24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>
      <c r="B49" s="217" t="s">
        <v>816</v>
      </c>
      <c r="C49" s="255" t="s">
        <v>661</v>
      </c>
      <c r="D49" s="149"/>
      <c r="E49" s="266">
        <v>15890.75</v>
      </c>
    </row>
    <row r="50" spans="2:5" ht="15.75">
      <c r="B50" s="188" t="s">
        <v>930</v>
      </c>
      <c r="C50" s="255" t="s">
        <v>661</v>
      </c>
      <c r="D50" s="154"/>
      <c r="E50" s="266">
        <v>2256.29</v>
      </c>
    </row>
    <row r="51" spans="2:5" ht="15.75">
      <c r="B51" s="188" t="s">
        <v>1000</v>
      </c>
      <c r="C51" s="255" t="s">
        <v>661</v>
      </c>
      <c r="D51" s="154"/>
      <c r="E51" s="266">
        <v>10429.08</v>
      </c>
    </row>
    <row r="52" spans="2:5" ht="15.75">
      <c r="B52" s="188" t="s">
        <v>2</v>
      </c>
      <c r="C52" s="255" t="s">
        <v>661</v>
      </c>
      <c r="D52" s="154"/>
      <c r="E52" s="266">
        <v>13778</v>
      </c>
    </row>
    <row r="53" spans="2:5" ht="14.25">
      <c r="B53" s="151" t="s">
        <v>676</v>
      </c>
      <c r="C53" s="116"/>
      <c r="D53" s="153"/>
      <c r="E53" s="177"/>
    </row>
    <row r="54" spans="2:5" ht="14.25">
      <c r="B54" s="132" t="s">
        <v>883</v>
      </c>
      <c r="C54" s="74" t="s">
        <v>661</v>
      </c>
      <c r="D54" s="153"/>
      <c r="E54" s="179">
        <f>38635.27</f>
        <v>38635.27</v>
      </c>
    </row>
    <row r="55" spans="2:5" ht="14.25">
      <c r="B55" s="157" t="s">
        <v>880</v>
      </c>
      <c r="C55" s="74" t="s">
        <v>661</v>
      </c>
      <c r="D55" s="152"/>
      <c r="E55" s="177">
        <v>1492.15</v>
      </c>
    </row>
    <row r="56" spans="2:5" ht="14.25">
      <c r="B56" s="157" t="s">
        <v>925</v>
      </c>
      <c r="C56" s="74" t="s">
        <v>661</v>
      </c>
      <c r="D56" s="152"/>
      <c r="E56" s="177">
        <v>16025.86</v>
      </c>
    </row>
    <row r="57" spans="2:5" ht="15">
      <c r="B57" s="151" t="s">
        <v>1025</v>
      </c>
      <c r="C57" s="118"/>
      <c r="D57" s="152"/>
      <c r="E57" s="220"/>
    </row>
    <row r="58" spans="2:5" ht="14.25">
      <c r="B58" s="159" t="s">
        <v>998</v>
      </c>
      <c r="C58" s="74" t="s">
        <v>661</v>
      </c>
      <c r="D58" s="152"/>
      <c r="E58" s="177">
        <f>11678.84</f>
        <v>11678.84</v>
      </c>
    </row>
    <row r="59" spans="2:5" ht="15">
      <c r="B59" s="159" t="s">
        <v>929</v>
      </c>
      <c r="C59" s="74" t="s">
        <v>661</v>
      </c>
      <c r="D59" s="13"/>
      <c r="E59" s="268">
        <v>987.89</v>
      </c>
    </row>
    <row r="60" spans="2:5" ht="12.75" hidden="1">
      <c r="B60" s="13"/>
      <c r="C60" s="13"/>
      <c r="D60" s="13"/>
      <c r="E60" s="85"/>
    </row>
    <row r="61" spans="2:5" ht="12.75" hidden="1">
      <c r="B61" s="117" t="s">
        <v>1014</v>
      </c>
      <c r="C61" s="13"/>
      <c r="D61" s="13"/>
      <c r="E61" s="256">
        <f>E49+E54+E55+E58+E59+E56+E50+E51+E52</f>
        <v>111174.12999999999</v>
      </c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207"/>
    </row>
    <row r="66" spans="2:5" ht="12.75">
      <c r="B66" s="11"/>
      <c r="C66" s="11"/>
      <c r="D66" s="11"/>
      <c r="E66" s="207"/>
    </row>
    <row r="67" spans="2:5" ht="15.75">
      <c r="B67" s="6" t="s">
        <v>830</v>
      </c>
      <c r="C67" s="6" t="s">
        <v>889</v>
      </c>
      <c r="E67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2:E22"/>
    <mergeCell ref="B12:C12"/>
    <mergeCell ref="B13:C13"/>
    <mergeCell ref="B14:C14"/>
    <mergeCell ref="B17:C17"/>
    <mergeCell ref="B18:C18"/>
    <mergeCell ref="B21:E21"/>
    <mergeCell ref="B15:C15"/>
    <mergeCell ref="B16:C16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99CC"/>
  </sheetPr>
  <dimension ref="A1:H107"/>
  <sheetViews>
    <sheetView zoomScalePageLayoutView="0" workbookViewId="0" topLeftCell="A17">
      <selection activeCell="G30" sqref="G30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spans="1:4" ht="14.25" hidden="1">
      <c r="A1" s="307" t="s">
        <v>314</v>
      </c>
      <c r="B1" s="298" t="s">
        <v>214</v>
      </c>
      <c r="C1" s="299">
        <v>1</v>
      </c>
      <c r="D1" s="302">
        <v>0</v>
      </c>
    </row>
    <row r="2" spans="1:4" ht="14.25" hidden="1">
      <c r="A2" s="307" t="s">
        <v>301</v>
      </c>
      <c r="B2" s="298" t="s">
        <v>40</v>
      </c>
      <c r="C2" s="299">
        <f>2+1</f>
        <v>3</v>
      </c>
      <c r="D2" s="302">
        <v>0</v>
      </c>
    </row>
    <row r="3" spans="1:4" ht="14.25" hidden="1">
      <c r="A3" s="307" t="s">
        <v>297</v>
      </c>
      <c r="B3" s="298" t="s">
        <v>40</v>
      </c>
      <c r="C3" s="299">
        <v>13</v>
      </c>
      <c r="D3" s="302">
        <v>0</v>
      </c>
    </row>
    <row r="4" spans="1:4" ht="14.25" hidden="1">
      <c r="A4" s="307" t="s">
        <v>113</v>
      </c>
      <c r="B4" s="298" t="s">
        <v>40</v>
      </c>
      <c r="C4" s="299">
        <v>1</v>
      </c>
      <c r="D4" s="302">
        <v>0</v>
      </c>
    </row>
    <row r="5" spans="1:4" ht="14.25" hidden="1">
      <c r="A5" s="307" t="s">
        <v>294</v>
      </c>
      <c r="B5" s="298" t="s">
        <v>295</v>
      </c>
      <c r="C5" s="299">
        <v>1</v>
      </c>
      <c r="D5" s="302">
        <v>0</v>
      </c>
    </row>
    <row r="6" spans="1:4" ht="14.25" hidden="1">
      <c r="A6" s="307" t="s">
        <v>232</v>
      </c>
      <c r="B6" s="298" t="s">
        <v>40</v>
      </c>
      <c r="C6" s="299">
        <v>1</v>
      </c>
      <c r="D6" s="302">
        <v>0</v>
      </c>
    </row>
    <row r="7" spans="1:4" ht="14.25" hidden="1">
      <c r="A7" s="307" t="s">
        <v>320</v>
      </c>
      <c r="B7" s="298" t="s">
        <v>52</v>
      </c>
      <c r="C7" s="299">
        <v>1</v>
      </c>
      <c r="D7" s="302">
        <v>0</v>
      </c>
    </row>
    <row r="8" spans="1:4" ht="14.25" hidden="1">
      <c r="A8" s="307" t="s">
        <v>321</v>
      </c>
      <c r="B8" s="298" t="s">
        <v>52</v>
      </c>
      <c r="C8" s="299">
        <v>22</v>
      </c>
      <c r="D8" s="302">
        <v>0</v>
      </c>
    </row>
    <row r="9" spans="1:4" ht="14.25" hidden="1">
      <c r="A9" s="307" t="s">
        <v>319</v>
      </c>
      <c r="B9" s="298" t="s">
        <v>52</v>
      </c>
      <c r="C9" s="299">
        <v>2</v>
      </c>
      <c r="D9" s="302">
        <v>0</v>
      </c>
    </row>
    <row r="10" spans="1:4" ht="14.25" hidden="1">
      <c r="A10" s="307" t="s">
        <v>888</v>
      </c>
      <c r="B10" s="298"/>
      <c r="C10" s="299">
        <v>4</v>
      </c>
      <c r="D10" s="302">
        <v>0</v>
      </c>
    </row>
    <row r="13" ht="12.75">
      <c r="D13" s="1" t="s">
        <v>792</v>
      </c>
    </row>
    <row r="14" spans="1:4" ht="22.5">
      <c r="A14" s="1331" t="s">
        <v>687</v>
      </c>
      <c r="B14" s="1331"/>
      <c r="C14" s="140"/>
      <c r="D14" s="140"/>
    </row>
    <row r="15" spans="1:4" ht="15.75">
      <c r="A15" s="1363" t="s">
        <v>497</v>
      </c>
      <c r="B15" s="1363"/>
      <c r="C15" s="91"/>
      <c r="D15" s="91"/>
    </row>
    <row r="16" spans="1:4" ht="15.75">
      <c r="A16" s="1363" t="s">
        <v>641</v>
      </c>
      <c r="B16" s="1363"/>
      <c r="C16" s="91"/>
      <c r="D16" s="91"/>
    </row>
    <row r="17" spans="1:4" ht="15.75">
      <c r="A17" s="1363" t="s">
        <v>804</v>
      </c>
      <c r="B17" s="1363"/>
      <c r="C17" s="91"/>
      <c r="D17" s="91"/>
    </row>
    <row r="18" spans="1:3" ht="18.75">
      <c r="A18" s="26"/>
      <c r="B18" s="26"/>
      <c r="C18"/>
    </row>
    <row r="19" spans="1:4" ht="15">
      <c r="A19" s="1343" t="s">
        <v>812</v>
      </c>
      <c r="B19" s="1343"/>
      <c r="C19" s="139"/>
      <c r="D19" s="139"/>
    </row>
    <row r="20" spans="1:4" ht="15">
      <c r="A20" s="324"/>
      <c r="B20" s="324"/>
      <c r="C20" s="139"/>
      <c r="D20" s="139"/>
    </row>
    <row r="21" spans="1:4" ht="12.75" customHeight="1">
      <c r="A21" s="1366" t="s">
        <v>642</v>
      </c>
      <c r="B21" s="1367"/>
      <c r="C21" s="1366" t="s">
        <v>895</v>
      </c>
      <c r="D21" s="1367"/>
    </row>
    <row r="22" spans="1:4" ht="12.75">
      <c r="A22" s="1368"/>
      <c r="B22" s="1369"/>
      <c r="C22" s="1368"/>
      <c r="D22" s="1369"/>
    </row>
    <row r="23" spans="1:4" ht="15">
      <c r="A23" s="372" t="s">
        <v>347</v>
      </c>
      <c r="B23" s="472"/>
      <c r="C23" s="1308">
        <v>238510.4</v>
      </c>
      <c r="D23" s="1309"/>
    </row>
    <row r="24" spans="1:4" ht="14.25">
      <c r="A24" s="471" t="s">
        <v>486</v>
      </c>
      <c r="B24" s="473"/>
      <c r="C24" s="1375">
        <v>1418878.08</v>
      </c>
      <c r="D24" s="1376"/>
    </row>
    <row r="25" spans="1:4" ht="14.25">
      <c r="A25" s="470" t="s">
        <v>647</v>
      </c>
      <c r="B25" s="474"/>
      <c r="C25" s="1312">
        <v>1408978.54</v>
      </c>
      <c r="D25" s="1313"/>
    </row>
    <row r="26" spans="1:4" ht="15">
      <c r="A26" s="475" t="s">
        <v>348</v>
      </c>
      <c r="B26" s="476"/>
      <c r="C26" s="1377">
        <f>C23+C24-C25</f>
        <v>248409.93999999994</v>
      </c>
      <c r="D26" s="1378"/>
    </row>
    <row r="27" spans="1:8" ht="14.25">
      <c r="A27" s="470" t="s">
        <v>540</v>
      </c>
      <c r="B27" s="474"/>
      <c r="C27" s="1407">
        <v>1244927.5</v>
      </c>
      <c r="D27" s="1408"/>
      <c r="H27" s="111"/>
    </row>
    <row r="28" spans="1:4" ht="12.75">
      <c r="A28" s="82"/>
      <c r="B28" s="83"/>
      <c r="C28" s="83"/>
      <c r="D28" s="83"/>
    </row>
    <row r="29" spans="2:4" ht="12.75">
      <c r="B29" s="83"/>
      <c r="C29" s="81"/>
      <c r="D29" s="314"/>
    </row>
    <row r="30" spans="1:4" ht="15.75">
      <c r="A30" s="1340" t="s">
        <v>650</v>
      </c>
      <c r="B30" s="1340"/>
      <c r="C30" s="1340"/>
      <c r="D30" s="1340"/>
    </row>
    <row r="31" spans="1:4" ht="15.75">
      <c r="A31" s="1340" t="s">
        <v>346</v>
      </c>
      <c r="B31" s="1340"/>
      <c r="C31" s="1340"/>
      <c r="D31" s="1340"/>
    </row>
    <row r="32" spans="1:4" ht="12.75">
      <c r="A32" s="82"/>
      <c r="B32" s="82"/>
      <c r="C32" s="103"/>
      <c r="D32" s="82"/>
    </row>
    <row r="33" spans="1:4" ht="26.25" thickBot="1">
      <c r="A33" s="501" t="s">
        <v>892</v>
      </c>
      <c r="B33" s="502" t="s">
        <v>667</v>
      </c>
      <c r="C33" s="499" t="s">
        <v>673</v>
      </c>
      <c r="D33" s="503" t="s">
        <v>793</v>
      </c>
    </row>
    <row r="34" spans="1:4" ht="16.5" thickBot="1">
      <c r="A34" s="477" t="s">
        <v>913</v>
      </c>
      <c r="B34" s="504"/>
      <c r="C34" s="456"/>
      <c r="D34" s="676"/>
    </row>
    <row r="35" spans="1:4" ht="26.25">
      <c r="A35" s="546" t="s">
        <v>105</v>
      </c>
      <c r="B35" s="637" t="s">
        <v>652</v>
      </c>
      <c r="C35" s="536"/>
      <c r="D35" s="528">
        <v>248679.37</v>
      </c>
    </row>
    <row r="36" spans="1:4" ht="15">
      <c r="A36" s="492" t="s">
        <v>654</v>
      </c>
      <c r="B36" s="398" t="s">
        <v>656</v>
      </c>
      <c r="C36" s="398" t="s">
        <v>801</v>
      </c>
      <c r="D36" s="509">
        <v>145696.96</v>
      </c>
    </row>
    <row r="37" spans="1:4" ht="24.75">
      <c r="A37" s="546" t="s">
        <v>14</v>
      </c>
      <c r="B37" s="397" t="s">
        <v>657</v>
      </c>
      <c r="C37" s="506"/>
      <c r="D37" s="507">
        <v>182140.08</v>
      </c>
    </row>
    <row r="38" spans="1:4" ht="18" customHeight="1">
      <c r="A38" s="492" t="s">
        <v>395</v>
      </c>
      <c r="B38" s="399"/>
      <c r="C38" s="508"/>
      <c r="D38" s="509">
        <v>25232.95</v>
      </c>
    </row>
    <row r="39" spans="1:4" ht="15.75" thickBot="1">
      <c r="A39" s="492" t="s">
        <v>527</v>
      </c>
      <c r="B39" s="399"/>
      <c r="C39" s="508"/>
      <c r="D39" s="509">
        <v>11116.67</v>
      </c>
    </row>
    <row r="40" spans="1:4" ht="15.75" thickBot="1">
      <c r="A40" s="805" t="s">
        <v>701</v>
      </c>
      <c r="B40" s="980"/>
      <c r="C40" s="981"/>
      <c r="D40" s="839">
        <v>612866.03</v>
      </c>
    </row>
    <row r="41" spans="1:4" ht="15.75" thickBot="1">
      <c r="A41" s="487" t="s">
        <v>914</v>
      </c>
      <c r="B41" s="461"/>
      <c r="C41" s="462"/>
      <c r="D41" s="463"/>
    </row>
    <row r="42" spans="1:4" ht="24">
      <c r="A42" s="943" t="s">
        <v>436</v>
      </c>
      <c r="B42" s="514" t="s">
        <v>920</v>
      </c>
      <c r="C42" s="515" t="s">
        <v>673</v>
      </c>
      <c r="D42" s="516" t="s">
        <v>793</v>
      </c>
    </row>
    <row r="43" spans="1:4" ht="15">
      <c r="A43" s="383" t="s">
        <v>203</v>
      </c>
      <c r="B43" s="365" t="s">
        <v>229</v>
      </c>
      <c r="C43" s="571">
        <v>1</v>
      </c>
      <c r="D43" s="434">
        <v>24182.89</v>
      </c>
    </row>
    <row r="44" spans="1:4" ht="15">
      <c r="A44" s="383" t="s">
        <v>389</v>
      </c>
      <c r="B44" s="365"/>
      <c r="C44" s="571">
        <v>2</v>
      </c>
      <c r="D44" s="434">
        <v>140468.8</v>
      </c>
    </row>
    <row r="45" spans="1:4" ht="15">
      <c r="A45" s="383" t="s">
        <v>60</v>
      </c>
      <c r="B45" s="762"/>
      <c r="C45" s="571">
        <v>1</v>
      </c>
      <c r="D45" s="434">
        <v>7955.65</v>
      </c>
    </row>
    <row r="46" spans="1:4" ht="15">
      <c r="A46" s="389" t="s">
        <v>420</v>
      </c>
      <c r="B46" s="746"/>
      <c r="C46" s="491">
        <v>2</v>
      </c>
      <c r="D46" s="402">
        <v>6591.3</v>
      </c>
    </row>
    <row r="47" spans="1:4" ht="30" thickBot="1">
      <c r="A47" s="675" t="s">
        <v>528</v>
      </c>
      <c r="B47" s="758" t="s">
        <v>478</v>
      </c>
      <c r="C47" s="807">
        <v>2</v>
      </c>
      <c r="D47" s="541">
        <v>2465.73</v>
      </c>
    </row>
    <row r="48" spans="1:4" ht="15.75" thickBot="1">
      <c r="A48" s="805" t="s">
        <v>701</v>
      </c>
      <c r="B48" s="825"/>
      <c r="C48" s="1013"/>
      <c r="D48" s="858">
        <v>181664.37</v>
      </c>
    </row>
    <row r="49" spans="1:4" ht="15">
      <c r="A49" s="808" t="s">
        <v>445</v>
      </c>
      <c r="B49" s="800"/>
      <c r="C49" s="377"/>
      <c r="D49" s="377"/>
    </row>
    <row r="50" spans="1:4" ht="15">
      <c r="A50" s="377" t="s">
        <v>455</v>
      </c>
      <c r="B50" s="365"/>
      <c r="C50" s="359">
        <v>5</v>
      </c>
      <c r="D50" s="422">
        <v>6718.63</v>
      </c>
    </row>
    <row r="51" spans="1:4" ht="15">
      <c r="A51" s="359" t="s">
        <v>972</v>
      </c>
      <c r="B51" s="365"/>
      <c r="C51" s="359">
        <v>1</v>
      </c>
      <c r="D51" s="422">
        <v>26603</v>
      </c>
    </row>
    <row r="52" spans="1:4" ht="15">
      <c r="A52" s="359" t="s">
        <v>327</v>
      </c>
      <c r="B52" s="677" t="s">
        <v>111</v>
      </c>
      <c r="C52" s="363">
        <v>1</v>
      </c>
      <c r="D52" s="425">
        <v>339.78</v>
      </c>
    </row>
    <row r="53" spans="1:4" ht="15">
      <c r="A53" s="359" t="s">
        <v>324</v>
      </c>
      <c r="B53" s="677" t="s">
        <v>211</v>
      </c>
      <c r="C53" s="363">
        <v>1</v>
      </c>
      <c r="D53" s="555">
        <v>3393.52</v>
      </c>
    </row>
    <row r="54" spans="1:4" ht="15">
      <c r="A54" s="359" t="s">
        <v>530</v>
      </c>
      <c r="B54" s="677" t="s">
        <v>478</v>
      </c>
      <c r="C54" s="363">
        <v>1</v>
      </c>
      <c r="D54" s="425">
        <v>34676.9</v>
      </c>
    </row>
    <row r="55" spans="1:4" ht="15.75" customHeight="1">
      <c r="A55" s="359" t="s">
        <v>239</v>
      </c>
      <c r="B55" s="677" t="s">
        <v>478</v>
      </c>
      <c r="C55" s="363">
        <v>2</v>
      </c>
      <c r="D55" s="425">
        <v>4960.35</v>
      </c>
    </row>
    <row r="56" spans="1:4" ht="15.75" customHeight="1">
      <c r="A56" s="359" t="s">
        <v>529</v>
      </c>
      <c r="B56" s="677" t="s">
        <v>478</v>
      </c>
      <c r="C56" s="363"/>
      <c r="D56" s="425">
        <v>912.44</v>
      </c>
    </row>
    <row r="57" spans="1:4" ht="15">
      <c r="A57" s="359" t="s">
        <v>173</v>
      </c>
      <c r="B57" s="677" t="s">
        <v>478</v>
      </c>
      <c r="C57" s="363">
        <v>1</v>
      </c>
      <c r="D57" s="424">
        <v>92.07</v>
      </c>
    </row>
    <row r="58" spans="1:4" ht="15.75" thickBot="1">
      <c r="A58" s="807" t="s">
        <v>234</v>
      </c>
      <c r="B58" s="934" t="s">
        <v>478</v>
      </c>
      <c r="C58" s="1014">
        <v>1</v>
      </c>
      <c r="D58" s="424">
        <v>813.11</v>
      </c>
    </row>
    <row r="59" spans="1:4" ht="15.75" thickBot="1">
      <c r="A59" s="806" t="s">
        <v>701</v>
      </c>
      <c r="B59" s="811"/>
      <c r="C59" s="1017"/>
      <c r="D59" s="893">
        <v>78509.8</v>
      </c>
    </row>
    <row r="60" spans="1:4" ht="15">
      <c r="A60" s="808" t="s">
        <v>780</v>
      </c>
      <c r="B60" s="570"/>
      <c r="C60" s="377">
        <v>3</v>
      </c>
      <c r="D60" s="421"/>
    </row>
    <row r="61" spans="1:4" ht="15">
      <c r="A61" s="377" t="s">
        <v>235</v>
      </c>
      <c r="B61" s="935" t="s">
        <v>211</v>
      </c>
      <c r="C61" s="377">
        <v>1</v>
      </c>
      <c r="D61" s="421">
        <v>446.23</v>
      </c>
    </row>
    <row r="62" spans="1:4" ht="15">
      <c r="A62" s="377" t="s">
        <v>423</v>
      </c>
      <c r="B62" s="935" t="s">
        <v>478</v>
      </c>
      <c r="C62" s="377">
        <v>3</v>
      </c>
      <c r="D62" s="421">
        <v>1890.62</v>
      </c>
    </row>
    <row r="63" spans="1:4" ht="15.75" thickBot="1">
      <c r="A63" s="799" t="s">
        <v>197</v>
      </c>
      <c r="B63" s="1145"/>
      <c r="C63" s="799">
        <v>5</v>
      </c>
      <c r="D63" s="439">
        <v>1770.25</v>
      </c>
    </row>
    <row r="64" spans="1:4" ht="15.75" thickBot="1">
      <c r="A64" s="806" t="s">
        <v>701</v>
      </c>
      <c r="B64" s="825"/>
      <c r="C64" s="1013"/>
      <c r="D64" s="863">
        <v>4107.1</v>
      </c>
    </row>
    <row r="65" spans="1:4" ht="15">
      <c r="A65" s="808" t="s">
        <v>531</v>
      </c>
      <c r="B65" s="935"/>
      <c r="C65" s="377"/>
      <c r="D65" s="441"/>
    </row>
    <row r="66" spans="1:4" ht="15">
      <c r="A66" s="377" t="s">
        <v>601</v>
      </c>
      <c r="B66" s="935" t="s">
        <v>478</v>
      </c>
      <c r="C66" s="377">
        <v>1</v>
      </c>
      <c r="D66" s="421">
        <v>427.11</v>
      </c>
    </row>
    <row r="67" spans="1:4" ht="15.75" thickBot="1">
      <c r="A67" s="799" t="s">
        <v>695</v>
      </c>
      <c r="B67" s="935"/>
      <c r="C67" s="799">
        <v>3</v>
      </c>
      <c r="D67" s="439">
        <v>1260.35</v>
      </c>
    </row>
    <row r="68" spans="1:4" ht="15.75" thickBot="1">
      <c r="A68" s="806" t="s">
        <v>701</v>
      </c>
      <c r="B68" s="945"/>
      <c r="C68" s="1087"/>
      <c r="D68" s="863">
        <v>1687.46</v>
      </c>
    </row>
    <row r="69" spans="1:4" ht="15">
      <c r="A69" s="808" t="s">
        <v>425</v>
      </c>
      <c r="B69" s="935"/>
      <c r="C69" s="377"/>
      <c r="D69" s="441"/>
    </row>
    <row r="70" spans="1:4" ht="15">
      <c r="A70" s="377" t="s">
        <v>196</v>
      </c>
      <c r="B70" s="935"/>
      <c r="C70" s="377">
        <v>12</v>
      </c>
      <c r="D70" s="441">
        <v>13871.3</v>
      </c>
    </row>
    <row r="71" spans="1:4" ht="15">
      <c r="A71" s="377" t="s">
        <v>231</v>
      </c>
      <c r="B71" s="935" t="s">
        <v>961</v>
      </c>
      <c r="C71" s="377">
        <v>1</v>
      </c>
      <c r="D71" s="441">
        <v>99.76</v>
      </c>
    </row>
    <row r="72" spans="1:4" ht="15">
      <c r="A72" s="377" t="s">
        <v>479</v>
      </c>
      <c r="B72" s="935" t="s">
        <v>532</v>
      </c>
      <c r="C72" s="377">
        <v>5</v>
      </c>
      <c r="D72" s="441">
        <v>4154.05</v>
      </c>
    </row>
    <row r="73" spans="1:4" ht="15">
      <c r="A73" s="377" t="s">
        <v>533</v>
      </c>
      <c r="B73" s="935" t="s">
        <v>478</v>
      </c>
      <c r="C73" s="377">
        <v>2</v>
      </c>
      <c r="D73" s="441">
        <v>4631.66</v>
      </c>
    </row>
    <row r="74" spans="1:4" ht="15.75" thickBot="1">
      <c r="A74" s="799" t="s">
        <v>212</v>
      </c>
      <c r="B74" s="1145" t="s">
        <v>81</v>
      </c>
      <c r="C74" s="799">
        <v>2</v>
      </c>
      <c r="D74" s="836">
        <v>3486.72</v>
      </c>
    </row>
    <row r="75" spans="1:4" ht="15.75" thickBot="1">
      <c r="A75" s="806" t="s">
        <v>701</v>
      </c>
      <c r="B75" s="825"/>
      <c r="C75" s="1013"/>
      <c r="D75" s="863">
        <v>26243.49</v>
      </c>
    </row>
    <row r="76" spans="1:4" ht="15">
      <c r="A76" s="808" t="s">
        <v>386</v>
      </c>
      <c r="B76" s="935"/>
      <c r="C76" s="377"/>
      <c r="D76" s="441"/>
    </row>
    <row r="77" spans="1:4" ht="15">
      <c r="A77" s="377" t="s">
        <v>886</v>
      </c>
      <c r="B77" s="935" t="s">
        <v>478</v>
      </c>
      <c r="C77" s="377">
        <v>9</v>
      </c>
      <c r="D77" s="421">
        <v>5461.93</v>
      </c>
    </row>
    <row r="78" spans="1:4" ht="15">
      <c r="A78" s="377" t="s">
        <v>534</v>
      </c>
      <c r="B78" s="935" t="s">
        <v>478</v>
      </c>
      <c r="C78" s="377">
        <v>2</v>
      </c>
      <c r="D78" s="421">
        <v>761.49</v>
      </c>
    </row>
    <row r="79" spans="1:4" ht="15">
      <c r="A79" s="377" t="s">
        <v>415</v>
      </c>
      <c r="B79" s="935" t="s">
        <v>211</v>
      </c>
      <c r="C79" s="377">
        <v>1</v>
      </c>
      <c r="D79" s="421">
        <v>187.29</v>
      </c>
    </row>
    <row r="80" spans="1:4" ht="15.75" thickBot="1">
      <c r="A80" s="807" t="s">
        <v>782</v>
      </c>
      <c r="B80" s="758"/>
      <c r="C80" s="807">
        <v>8</v>
      </c>
      <c r="D80" s="425">
        <v>5931.28</v>
      </c>
    </row>
    <row r="81" spans="1:4" ht="15.75" thickBot="1">
      <c r="A81" s="806" t="s">
        <v>701</v>
      </c>
      <c r="B81" s="811"/>
      <c r="C81" s="1013"/>
      <c r="D81" s="533">
        <v>12341.99</v>
      </c>
    </row>
    <row r="82" spans="1:4" ht="15.75" thickBot="1">
      <c r="A82" s="1232"/>
      <c r="B82" s="1233"/>
      <c r="C82" s="799"/>
      <c r="D82" s="1234"/>
    </row>
    <row r="83" spans="1:4" ht="15.75" thickBot="1">
      <c r="A83" s="884" t="s">
        <v>375</v>
      </c>
      <c r="B83" s="811"/>
      <c r="C83" s="1013"/>
      <c r="D83" s="858">
        <v>304554.21</v>
      </c>
    </row>
    <row r="84" spans="1:4" ht="15">
      <c r="A84" s="377"/>
      <c r="B84" s="570"/>
      <c r="C84" s="383"/>
      <c r="D84" s="836"/>
    </row>
    <row r="85" spans="1:4" ht="15">
      <c r="A85" s="944" t="s">
        <v>743</v>
      </c>
      <c r="B85" s="365"/>
      <c r="C85" s="369"/>
      <c r="D85" s="869">
        <v>53950.59</v>
      </c>
    </row>
    <row r="86" spans="1:4" ht="15">
      <c r="A86" s="808" t="s">
        <v>904</v>
      </c>
      <c r="B86" s="757"/>
      <c r="C86" s="369"/>
      <c r="D86" s="428">
        <v>43636.25</v>
      </c>
    </row>
    <row r="87" spans="1:4" ht="15">
      <c r="A87" s="955" t="s">
        <v>735</v>
      </c>
      <c r="B87" s="677"/>
      <c r="C87" s="369"/>
      <c r="D87" s="869">
        <v>229920.42</v>
      </c>
    </row>
    <row r="88" spans="1:4" ht="15.75" thickBot="1">
      <c r="A88" s="574"/>
      <c r="B88" s="758"/>
      <c r="C88" s="519"/>
      <c r="D88" s="541"/>
    </row>
    <row r="89" spans="1:4" ht="15.75" thickBot="1">
      <c r="A89" s="806" t="s">
        <v>918</v>
      </c>
      <c r="B89" s="957"/>
      <c r="C89" s="907"/>
      <c r="D89" s="858">
        <v>1244927.5</v>
      </c>
    </row>
    <row r="92" spans="1:4" ht="15">
      <c r="A92" s="370"/>
      <c r="B92" s="370"/>
      <c r="C92" s="370"/>
      <c r="D92" s="371"/>
    </row>
    <row r="93" spans="1:4" ht="15">
      <c r="A93" s="370"/>
      <c r="B93" s="370"/>
      <c r="C93" s="370"/>
      <c r="D93" s="371"/>
    </row>
    <row r="94" spans="1:4" ht="14.25">
      <c r="A94" s="764"/>
      <c r="B94" s="358"/>
      <c r="C94" s="359"/>
      <c r="D94" s="1262"/>
    </row>
    <row r="95" spans="1:4" ht="15">
      <c r="A95" s="1251" t="s">
        <v>568</v>
      </c>
      <c r="B95" s="1257"/>
      <c r="C95" s="467"/>
      <c r="D95" s="467">
        <v>0</v>
      </c>
    </row>
    <row r="96" spans="1:4" ht="15">
      <c r="A96" s="1332" t="s">
        <v>569</v>
      </c>
      <c r="B96" s="1332"/>
      <c r="C96" s="628"/>
      <c r="D96" s="608">
        <v>1408978.54</v>
      </c>
    </row>
    <row r="97" spans="1:4" ht="15">
      <c r="A97" s="1332" t="s">
        <v>570</v>
      </c>
      <c r="B97" s="1332"/>
      <c r="C97" s="607"/>
      <c r="D97" s="608">
        <v>1244927.5</v>
      </c>
    </row>
    <row r="98" spans="1:4" ht="15">
      <c r="A98" s="1333" t="s">
        <v>571</v>
      </c>
      <c r="B98" s="1333"/>
      <c r="C98" s="629"/>
      <c r="D98" s="629">
        <v>-164051.04</v>
      </c>
    </row>
    <row r="99" spans="1:4" ht="15">
      <c r="A99" s="1332" t="s">
        <v>179</v>
      </c>
      <c r="B99" s="1332"/>
      <c r="C99" s="1258"/>
      <c r="D99" s="630">
        <v>-164051.04</v>
      </c>
    </row>
    <row r="100" spans="1:4" ht="15">
      <c r="A100" s="538"/>
      <c r="B100" s="538"/>
      <c r="C100" s="1259"/>
      <c r="D100" s="1260"/>
    </row>
    <row r="101" spans="1:4" ht="15">
      <c r="A101" s="538"/>
      <c r="B101" s="538"/>
      <c r="C101" s="1259"/>
      <c r="D101" s="1260"/>
    </row>
    <row r="102" spans="1:4" ht="15">
      <c r="A102" s="538"/>
      <c r="B102" s="538"/>
      <c r="C102" s="1259"/>
      <c r="D102" s="1260"/>
    </row>
    <row r="103" spans="1:4" ht="15">
      <c r="A103" s="538" t="s">
        <v>180</v>
      </c>
      <c r="B103" s="538"/>
      <c r="C103" s="1259" t="s">
        <v>573</v>
      </c>
      <c r="D103" s="1260"/>
    </row>
    <row r="104" spans="1:4" ht="15">
      <c r="A104" s="538"/>
      <c r="B104" s="538"/>
      <c r="C104" s="1259"/>
      <c r="D104" s="1260"/>
    </row>
    <row r="105" ht="12.75">
      <c r="A105" s="735" t="s">
        <v>357</v>
      </c>
    </row>
    <row r="106" ht="12.75">
      <c r="A106" s="735" t="s">
        <v>906</v>
      </c>
    </row>
    <row r="107" ht="12.75">
      <c r="A107" s="735" t="s">
        <v>358</v>
      </c>
    </row>
  </sheetData>
  <sheetProtection/>
  <mergeCells count="18">
    <mergeCell ref="A19:B19"/>
    <mergeCell ref="A21:B22"/>
    <mergeCell ref="A14:B14"/>
    <mergeCell ref="A15:B15"/>
    <mergeCell ref="A16:B16"/>
    <mergeCell ref="A17:B17"/>
    <mergeCell ref="C21:D22"/>
    <mergeCell ref="C23:D23"/>
    <mergeCell ref="A30:D30"/>
    <mergeCell ref="A31:D31"/>
    <mergeCell ref="C24:D24"/>
    <mergeCell ref="C25:D25"/>
    <mergeCell ref="C26:D26"/>
    <mergeCell ref="C27:D27"/>
    <mergeCell ref="A96:B96"/>
    <mergeCell ref="A97:B97"/>
    <mergeCell ref="A98:B98"/>
    <mergeCell ref="A99:B99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8">
      <selection activeCell="B15" sqref="B15:C1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1.85156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865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132414.05+1033.38</f>
        <v>133447.43</v>
      </c>
      <c r="E11" s="25">
        <v>25388.42</v>
      </c>
    </row>
    <row r="12" spans="2:5" ht="16.5" thickBot="1">
      <c r="B12" s="1398" t="s">
        <v>646</v>
      </c>
      <c r="C12" s="1399"/>
      <c r="D12" s="25">
        <f>1297375.79+6706.56</f>
        <v>1304082.35</v>
      </c>
      <c r="E12" s="25">
        <v>60065.66</v>
      </c>
    </row>
    <row r="13" spans="2:5" ht="16.5" thickBot="1">
      <c r="B13" s="1398" t="s">
        <v>647</v>
      </c>
      <c r="C13" s="1399"/>
      <c r="D13" s="25">
        <f>1280799.01+7605.48</f>
        <v>1288404.49</v>
      </c>
      <c r="E13" s="25">
        <v>85013.53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76535.28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149125.29000000004</v>
      </c>
      <c r="E17" s="25">
        <f>E11+E12-E13</f>
        <v>440.5500000000029</v>
      </c>
    </row>
    <row r="18" spans="2:5" ht="16.5" thickBot="1">
      <c r="B18" s="1398" t="s">
        <v>832</v>
      </c>
      <c r="C18" s="1399"/>
      <c r="D18" s="75">
        <f>E24+E46</f>
        <v>1410042.52</v>
      </c>
      <c r="E18" s="73">
        <v>18898.4</v>
      </c>
    </row>
    <row r="19" spans="3:4" ht="9" customHeight="1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8.25" customHeight="1" thickBot="1">
      <c r="D22" s="11"/>
    </row>
    <row r="23" spans="1:5" ht="48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E25+E31+E33+E34+E44</f>
        <v>890558.99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431375.34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183614.38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236669.67</v>
      </c>
    </row>
    <row r="34" spans="2:5" ht="16.5" thickBot="1">
      <c r="B34" s="67" t="s">
        <v>879</v>
      </c>
      <c r="C34" s="64" t="s">
        <v>661</v>
      </c>
      <c r="D34" s="43"/>
      <c r="E34" s="230">
        <v>400</v>
      </c>
    </row>
    <row r="35" spans="2:5" ht="32.2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94.5" hidden="1" thickBot="1">
      <c r="B38" s="36" t="s">
        <v>790</v>
      </c>
      <c r="C38" s="65" t="s">
        <v>661</v>
      </c>
      <c r="D38" s="44"/>
      <c r="E38" s="174"/>
    </row>
    <row r="39" spans="2:5" ht="63.75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52.5" hidden="1" thickBot="1">
      <c r="B42" s="67" t="s">
        <v>670</v>
      </c>
      <c r="C42" s="64" t="s">
        <v>684</v>
      </c>
      <c r="D42" s="46"/>
      <c r="E42" s="240"/>
    </row>
    <row r="43" spans="2:5" ht="63.75" hidden="1" thickBot="1">
      <c r="B43" s="68" t="s">
        <v>800</v>
      </c>
      <c r="C43" s="65" t="s">
        <v>661</v>
      </c>
      <c r="D43" s="44"/>
      <c r="E43" s="251"/>
    </row>
    <row r="44" spans="2:5" ht="16.5" thickBot="1">
      <c r="B44" s="69" t="s">
        <v>685</v>
      </c>
      <c r="C44" s="212" t="s">
        <v>817</v>
      </c>
      <c r="D44" s="43" t="s">
        <v>801</v>
      </c>
      <c r="E44" s="231">
        <v>38499.6</v>
      </c>
    </row>
    <row r="45" spans="2:5" ht="32.25" hidden="1" thickBot="1">
      <c r="B45" s="70" t="s">
        <v>802</v>
      </c>
      <c r="C45" s="47"/>
      <c r="D45" s="44"/>
      <c r="E45" s="252"/>
    </row>
    <row r="46" spans="2:5" ht="20.25" thickBot="1">
      <c r="B46" s="14" t="s">
        <v>760</v>
      </c>
      <c r="C46" s="17"/>
      <c r="E46" s="261">
        <f>E59</f>
        <v>519483.52999999997</v>
      </c>
    </row>
    <row r="47" spans="2:5" ht="24.75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5.75">
      <c r="B48" s="217" t="s">
        <v>816</v>
      </c>
      <c r="C48" s="255" t="s">
        <v>661</v>
      </c>
      <c r="D48" s="149"/>
      <c r="E48" s="266">
        <v>1039.81</v>
      </c>
    </row>
    <row r="49" spans="2:5" ht="15.75">
      <c r="B49" s="188" t="s">
        <v>930</v>
      </c>
      <c r="C49" s="255" t="s">
        <v>661</v>
      </c>
      <c r="D49" s="154"/>
      <c r="E49" s="266">
        <f>4401.54+24239</f>
        <v>28640.54</v>
      </c>
    </row>
    <row r="50" spans="2:5" ht="15.75">
      <c r="B50" s="188" t="s">
        <v>1000</v>
      </c>
      <c r="C50" s="255" t="s">
        <v>661</v>
      </c>
      <c r="D50" s="154"/>
      <c r="E50" s="266">
        <v>127729.76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53656.98+148646.02+2636.16+16369.87</f>
        <v>221309.03</v>
      </c>
    </row>
    <row r="53" spans="2:5" ht="14.25">
      <c r="B53" s="157" t="s">
        <v>880</v>
      </c>
      <c r="C53" s="74" t="s">
        <v>661</v>
      </c>
      <c r="D53" s="152"/>
      <c r="E53" s="177">
        <v>15208.86</v>
      </c>
    </row>
    <row r="54" spans="2:5" ht="14.25">
      <c r="B54" s="157" t="s">
        <v>925</v>
      </c>
      <c r="C54" s="74" t="s">
        <v>661</v>
      </c>
      <c r="D54" s="152"/>
      <c r="E54" s="177">
        <v>53753.53</v>
      </c>
    </row>
    <row r="55" spans="2:5" ht="15">
      <c r="B55" s="151" t="s">
        <v>1025</v>
      </c>
      <c r="C55" s="118"/>
      <c r="D55" s="152"/>
      <c r="E55" s="220"/>
    </row>
    <row r="56" spans="2:5" ht="14.25">
      <c r="B56" s="159" t="s">
        <v>998</v>
      </c>
      <c r="C56" s="74" t="s">
        <v>661</v>
      </c>
      <c r="D56" s="152"/>
      <c r="E56" s="177">
        <v>69232.27</v>
      </c>
    </row>
    <row r="57" spans="2:5" ht="15">
      <c r="B57" s="159" t="s">
        <v>929</v>
      </c>
      <c r="C57" s="74" t="s">
        <v>661</v>
      </c>
      <c r="D57" s="13"/>
      <c r="E57" s="268">
        <v>2569.73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E48+E52+E53+E56+E57+E54+E49+E50</f>
        <v>519483.52999999997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1"/>
      <c r="C64" s="11"/>
      <c r="D64" s="11"/>
      <c r="E64" s="207"/>
    </row>
    <row r="65" spans="2:5" ht="15.75">
      <c r="B65" s="6" t="s">
        <v>830</v>
      </c>
      <c r="C65" s="6" t="s">
        <v>889</v>
      </c>
      <c r="E65" s="254"/>
    </row>
    <row r="68" ht="15.75">
      <c r="B68" s="7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9">
      <selection activeCell="B15" sqref="B15:C1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3.281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866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77992.8+666.5</f>
        <v>78659.3</v>
      </c>
      <c r="E11" s="25">
        <v>13979.54</v>
      </c>
    </row>
    <row r="12" spans="2:5" ht="16.5" thickBot="1">
      <c r="B12" s="1398" t="s">
        <v>646</v>
      </c>
      <c r="C12" s="1399"/>
      <c r="D12" s="25">
        <f>620624.42+3183.68</f>
        <v>623808.1000000001</v>
      </c>
      <c r="E12" s="25">
        <v>31497.75</v>
      </c>
    </row>
    <row r="13" spans="2:5" ht="16.5" thickBot="1">
      <c r="B13" s="1398" t="s">
        <v>647</v>
      </c>
      <c r="C13" s="1399"/>
      <c r="D13" s="25">
        <f>597621.28+3496.3</f>
        <v>601117.5800000001</v>
      </c>
      <c r="E13" s="25">
        <v>45477.29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14924.4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101349.82000000007</v>
      </c>
      <c r="E17" s="25">
        <f>E11+E12-E13</f>
        <v>0</v>
      </c>
    </row>
    <row r="18" spans="2:5" ht="16.5" thickBot="1">
      <c r="B18" s="1398" t="s">
        <v>832</v>
      </c>
      <c r="C18" s="1399"/>
      <c r="D18" s="75">
        <f>E25+E47</f>
        <v>949263.77</v>
      </c>
      <c r="E18" s="73">
        <v>18898.4</v>
      </c>
    </row>
    <row r="19" spans="3:4" ht="12.75">
      <c r="C19" s="83"/>
      <c r="D19" s="81"/>
    </row>
    <row r="20" spans="3:4" ht="12.75">
      <c r="C20" s="83"/>
      <c r="D20" s="81"/>
    </row>
    <row r="21" spans="2:5" ht="18.75">
      <c r="B21" s="1397" t="s">
        <v>650</v>
      </c>
      <c r="C21" s="1397"/>
      <c r="D21" s="1397"/>
      <c r="E21" s="1397"/>
    </row>
    <row r="22" spans="2:5" ht="18.75">
      <c r="B22" s="1397" t="s">
        <v>1009</v>
      </c>
      <c r="C22" s="1397"/>
      <c r="D22" s="1397"/>
      <c r="E22" s="1397"/>
    </row>
    <row r="23" ht="13.5" thickBot="1">
      <c r="D23" s="11"/>
    </row>
    <row r="24" spans="1:5" ht="48" thickBot="1">
      <c r="A24" s="9"/>
      <c r="B24" s="34" t="s">
        <v>651</v>
      </c>
      <c r="C24" s="60" t="s">
        <v>667</v>
      </c>
      <c r="D24" s="59" t="s">
        <v>673</v>
      </c>
      <c r="E24" s="63" t="s">
        <v>793</v>
      </c>
    </row>
    <row r="25" spans="1:5" ht="20.25" thickBot="1">
      <c r="A25" s="9"/>
      <c r="B25" s="35" t="s">
        <v>761</v>
      </c>
      <c r="C25" s="61"/>
      <c r="D25" s="10"/>
      <c r="E25" s="62">
        <f>E26+E32+E34+E35+E45</f>
        <v>429522.89999999997</v>
      </c>
    </row>
    <row r="26" spans="1:5" ht="32.25" thickBot="1">
      <c r="A26" s="11"/>
      <c r="B26" s="67" t="s">
        <v>662</v>
      </c>
      <c r="C26" s="64" t="s">
        <v>652</v>
      </c>
      <c r="D26" s="43"/>
      <c r="E26" s="230">
        <v>223559.01</v>
      </c>
    </row>
    <row r="27" spans="2:5" ht="32.25" hidden="1" thickBot="1">
      <c r="B27" s="67" t="s">
        <v>686</v>
      </c>
      <c r="C27" s="65" t="s">
        <v>661</v>
      </c>
      <c r="D27" s="44"/>
      <c r="E27" s="174"/>
    </row>
    <row r="28" spans="2:5" ht="16.5" hidden="1" thickBot="1">
      <c r="B28" s="67" t="s">
        <v>765</v>
      </c>
      <c r="C28" s="65" t="s">
        <v>661</v>
      </c>
      <c r="D28" s="44"/>
      <c r="E28" s="174"/>
    </row>
    <row r="29" spans="2:5" ht="39.75" hidden="1" thickBot="1">
      <c r="B29" s="67" t="s">
        <v>655</v>
      </c>
      <c r="C29" s="64" t="s">
        <v>653</v>
      </c>
      <c r="D29" s="45"/>
      <c r="E29" s="237"/>
    </row>
    <row r="30" spans="2:5" ht="48" hidden="1" thickBot="1">
      <c r="B30" s="67" t="s">
        <v>796</v>
      </c>
      <c r="C30" s="65" t="s">
        <v>661</v>
      </c>
      <c r="D30" s="44"/>
      <c r="E30" s="174"/>
    </row>
    <row r="31" spans="2:5" ht="48" hidden="1" thickBot="1">
      <c r="B31" s="67" t="s">
        <v>797</v>
      </c>
      <c r="C31" s="65" t="s">
        <v>661</v>
      </c>
      <c r="D31" s="44"/>
      <c r="E31" s="174"/>
    </row>
    <row r="32" spans="2:5" ht="16.5" thickBot="1">
      <c r="B32" s="67" t="s">
        <v>654</v>
      </c>
      <c r="C32" s="48" t="s">
        <v>656</v>
      </c>
      <c r="D32" s="43" t="s">
        <v>801</v>
      </c>
      <c r="E32" s="230">
        <v>94380.65</v>
      </c>
    </row>
    <row r="33" spans="2:5" ht="32.25" hidden="1" thickBot="1">
      <c r="B33" s="67" t="s">
        <v>798</v>
      </c>
      <c r="C33" s="65" t="s">
        <v>661</v>
      </c>
      <c r="D33" s="47" t="s">
        <v>822</v>
      </c>
      <c r="E33" s="174"/>
    </row>
    <row r="34" spans="2:5" ht="27" thickBot="1">
      <c r="B34" s="67" t="s">
        <v>658</v>
      </c>
      <c r="C34" s="64" t="s">
        <v>657</v>
      </c>
      <c r="D34" s="43"/>
      <c r="E34" s="230">
        <v>89821.84</v>
      </c>
    </row>
    <row r="35" spans="2:5" ht="16.5" thickBot="1">
      <c r="B35" s="67" t="s">
        <v>931</v>
      </c>
      <c r="C35" s="64" t="s">
        <v>661</v>
      </c>
      <c r="D35" s="43"/>
      <c r="E35" s="230">
        <v>2246.54</v>
      </c>
    </row>
    <row r="36" spans="2:5" ht="32.2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94.5" hidden="1" thickBot="1">
      <c r="B39" s="36" t="s">
        <v>790</v>
      </c>
      <c r="C39" s="65" t="s">
        <v>661</v>
      </c>
      <c r="D39" s="44"/>
      <c r="E39" s="174"/>
    </row>
    <row r="40" spans="2:5" ht="63.75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52.5" hidden="1" thickBot="1">
      <c r="B43" s="67" t="s">
        <v>670</v>
      </c>
      <c r="C43" s="64" t="s">
        <v>684</v>
      </c>
      <c r="D43" s="46"/>
      <c r="E43" s="240"/>
    </row>
    <row r="44" spans="2:5" ht="63.75" hidden="1" thickBot="1">
      <c r="B44" s="68" t="s">
        <v>800</v>
      </c>
      <c r="C44" s="65" t="s">
        <v>661</v>
      </c>
      <c r="D44" s="44"/>
      <c r="E44" s="251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19514.86</v>
      </c>
    </row>
    <row r="46" spans="2:5" ht="32.25" hidden="1" thickBot="1">
      <c r="B46" s="70" t="s">
        <v>802</v>
      </c>
      <c r="C46" s="47"/>
      <c r="D46" s="44"/>
      <c r="E46" s="252"/>
    </row>
    <row r="47" spans="2:5" ht="20.25" thickBot="1">
      <c r="B47" s="14" t="s">
        <v>760</v>
      </c>
      <c r="C47" s="17"/>
      <c r="E47" s="261">
        <f>E61</f>
        <v>519740.87</v>
      </c>
    </row>
    <row r="48" spans="2:5" ht="24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>
      <c r="B49" s="217" t="s">
        <v>816</v>
      </c>
      <c r="C49" s="255" t="s">
        <v>661</v>
      </c>
      <c r="D49" s="149"/>
      <c r="E49" s="266">
        <f>19008.5+1986.18</f>
        <v>20994.68</v>
      </c>
    </row>
    <row r="50" spans="2:5" ht="15.75">
      <c r="B50" s="188" t="s">
        <v>997</v>
      </c>
      <c r="C50" s="255" t="s">
        <v>661</v>
      </c>
      <c r="D50" s="154"/>
      <c r="E50" s="266">
        <v>335.97</v>
      </c>
    </row>
    <row r="51" spans="2:5" ht="15.75">
      <c r="B51" s="188" t="s">
        <v>1000</v>
      </c>
      <c r="C51" s="255" t="s">
        <v>661</v>
      </c>
      <c r="D51" s="154"/>
      <c r="E51" s="266">
        <v>1703.33</v>
      </c>
    </row>
    <row r="52" spans="2:5" ht="15.75">
      <c r="B52" s="188" t="s">
        <v>989</v>
      </c>
      <c r="C52" s="255" t="s">
        <v>661</v>
      </c>
      <c r="D52" s="154"/>
      <c r="E52" s="266">
        <v>363997.22</v>
      </c>
    </row>
    <row r="53" spans="2:5" ht="14.25">
      <c r="B53" s="151" t="s">
        <v>676</v>
      </c>
      <c r="C53" s="116"/>
      <c r="D53" s="153"/>
      <c r="E53" s="177"/>
    </row>
    <row r="54" spans="2:5" ht="14.25">
      <c r="B54" s="132" t="s">
        <v>883</v>
      </c>
      <c r="C54" s="74" t="s">
        <v>661</v>
      </c>
      <c r="D54" s="153"/>
      <c r="E54" s="179">
        <f>42207.78+2132.99</f>
        <v>44340.77</v>
      </c>
    </row>
    <row r="55" spans="2:5" ht="14.25">
      <c r="B55" s="157" t="s">
        <v>880</v>
      </c>
      <c r="C55" s="74" t="s">
        <v>661</v>
      </c>
      <c r="D55" s="152"/>
      <c r="E55" s="177">
        <f>51853.79+954.53</f>
        <v>52808.32</v>
      </c>
    </row>
    <row r="56" spans="2:5" ht="14.25">
      <c r="B56" s="157" t="s">
        <v>925</v>
      </c>
      <c r="C56" s="74" t="s">
        <v>661</v>
      </c>
      <c r="D56" s="152"/>
      <c r="E56" s="177">
        <v>13166.73</v>
      </c>
    </row>
    <row r="57" spans="2:5" ht="15">
      <c r="B57" s="151" t="s">
        <v>1025</v>
      </c>
      <c r="C57" s="118"/>
      <c r="D57" s="152"/>
      <c r="E57" s="220"/>
    </row>
    <row r="58" spans="2:5" ht="14.25">
      <c r="B58" s="159" t="s">
        <v>998</v>
      </c>
      <c r="C58" s="74" t="s">
        <v>661</v>
      </c>
      <c r="D58" s="152"/>
      <c r="E58" s="177">
        <v>21096.43</v>
      </c>
    </row>
    <row r="59" spans="2:5" ht="15">
      <c r="B59" s="159" t="s">
        <v>929</v>
      </c>
      <c r="C59" s="74" t="s">
        <v>661</v>
      </c>
      <c r="D59" s="13"/>
      <c r="E59" s="268">
        <v>1297.42</v>
      </c>
    </row>
    <row r="60" spans="2:5" ht="12.75" hidden="1">
      <c r="B60" s="13"/>
      <c r="C60" s="13"/>
      <c r="D60" s="13"/>
      <c r="E60" s="85"/>
    </row>
    <row r="61" spans="2:5" ht="12.75" hidden="1">
      <c r="B61" s="117" t="s">
        <v>1014</v>
      </c>
      <c r="C61" s="13"/>
      <c r="D61" s="13"/>
      <c r="E61" s="256">
        <f>E49+E54+E55+E58+E59+E56+E50+E51+E52</f>
        <v>519740.87</v>
      </c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207"/>
    </row>
    <row r="66" spans="2:5" ht="12.75">
      <c r="B66" s="11"/>
      <c r="C66" s="11"/>
      <c r="D66" s="11"/>
      <c r="E66" s="207"/>
    </row>
    <row r="67" spans="2:5" ht="15.75">
      <c r="B67" s="6" t="s">
        <v>830</v>
      </c>
      <c r="C67" s="6" t="s">
        <v>889</v>
      </c>
      <c r="E67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2:E22"/>
    <mergeCell ref="B12:C12"/>
    <mergeCell ref="B13:C13"/>
    <mergeCell ref="B14:C14"/>
    <mergeCell ref="B17:C17"/>
    <mergeCell ref="B18:C18"/>
    <mergeCell ref="B21:E21"/>
    <mergeCell ref="B15:C15"/>
    <mergeCell ref="B16:C16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99CC"/>
  </sheetPr>
  <dimension ref="A3:K91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64.421875" style="1" customWidth="1"/>
    <col min="2" max="2" width="10.28125" style="1" customWidth="1"/>
    <col min="3" max="3" width="13.57421875" style="1" customWidth="1"/>
    <col min="4" max="4" width="14.42187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329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129779.56</v>
      </c>
      <c r="D13" s="1309"/>
    </row>
    <row r="14" spans="1:4" ht="14.25">
      <c r="A14" s="471" t="s">
        <v>486</v>
      </c>
      <c r="B14" s="473"/>
      <c r="C14" s="1375">
        <v>663128.4</v>
      </c>
      <c r="D14" s="1376"/>
    </row>
    <row r="15" spans="1:4" ht="14.25">
      <c r="A15" s="470" t="s">
        <v>647</v>
      </c>
      <c r="B15" s="474"/>
      <c r="C15" s="1312">
        <v>634527.07</v>
      </c>
      <c r="D15" s="1313"/>
    </row>
    <row r="16" spans="1:4" ht="15">
      <c r="A16" s="475" t="s">
        <v>348</v>
      </c>
      <c r="B16" s="476"/>
      <c r="C16" s="1377">
        <f>C13+C14-C15</f>
        <v>158380.89</v>
      </c>
      <c r="D16" s="1378"/>
    </row>
    <row r="17" spans="1:4" ht="14.25">
      <c r="A17" s="470" t="s">
        <v>539</v>
      </c>
      <c r="B17" s="474"/>
      <c r="C17" s="1407">
        <v>697158.03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118175.66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69237.08</v>
      </c>
    </row>
    <row r="27" spans="1:4" ht="24.75">
      <c r="A27" s="546" t="s">
        <v>14</v>
      </c>
      <c r="B27" s="397" t="s">
        <v>657</v>
      </c>
      <c r="C27" s="506"/>
      <c r="D27" s="507">
        <v>86555.32</v>
      </c>
    </row>
    <row r="28" spans="1:4" ht="29.25">
      <c r="A28" s="492" t="s">
        <v>137</v>
      </c>
      <c r="B28" s="399"/>
      <c r="C28" s="508"/>
      <c r="D28" s="509">
        <v>12820.81</v>
      </c>
    </row>
    <row r="29" spans="1:4" ht="15.75" thickBot="1">
      <c r="A29" s="390" t="s">
        <v>799</v>
      </c>
      <c r="B29" s="609" t="s">
        <v>661</v>
      </c>
      <c r="C29" s="610"/>
      <c r="D29" s="595">
        <v>22270.4</v>
      </c>
    </row>
    <row r="30" spans="1:4" ht="15.75" thickBot="1">
      <c r="A30" s="805" t="s">
        <v>701</v>
      </c>
      <c r="B30" s="980"/>
      <c r="C30" s="981"/>
      <c r="D30" s="839">
        <v>309059.27</v>
      </c>
    </row>
    <row r="31" spans="1:4" ht="15.75" thickBot="1">
      <c r="A31" s="487" t="s">
        <v>914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515" t="s">
        <v>673</v>
      </c>
      <c r="D32" s="516" t="s">
        <v>793</v>
      </c>
    </row>
    <row r="33" spans="1:4" ht="15">
      <c r="A33" s="376" t="s">
        <v>109</v>
      </c>
      <c r="B33" s="358" t="s">
        <v>40</v>
      </c>
      <c r="C33" s="571">
        <v>3</v>
      </c>
      <c r="D33" s="578">
        <v>2617.96</v>
      </c>
    </row>
    <row r="34" spans="1:4" ht="15">
      <c r="A34" s="383" t="s">
        <v>11</v>
      </c>
      <c r="B34" s="570" t="s">
        <v>229</v>
      </c>
      <c r="C34" s="571">
        <v>1</v>
      </c>
      <c r="D34" s="578">
        <v>11916.22</v>
      </c>
    </row>
    <row r="35" spans="1:4" ht="15">
      <c r="A35" s="383" t="s">
        <v>60</v>
      </c>
      <c r="B35" s="570" t="s">
        <v>817</v>
      </c>
      <c r="C35" s="571">
        <v>1</v>
      </c>
      <c r="D35" s="578">
        <v>1250.17</v>
      </c>
    </row>
    <row r="36" spans="1:4" ht="15">
      <c r="A36" s="383" t="s">
        <v>389</v>
      </c>
      <c r="B36" s="570"/>
      <c r="C36" s="571">
        <v>1</v>
      </c>
      <c r="D36" s="578">
        <v>147244.9</v>
      </c>
    </row>
    <row r="37" spans="1:4" ht="15.75" thickBot="1">
      <c r="A37" s="390" t="s">
        <v>968</v>
      </c>
      <c r="B37" s="746" t="s">
        <v>817</v>
      </c>
      <c r="C37" s="674">
        <v>2</v>
      </c>
      <c r="D37" s="459">
        <v>2166.32</v>
      </c>
    </row>
    <row r="38" spans="1:4" ht="15.75" thickBot="1">
      <c r="A38" s="806" t="s">
        <v>701</v>
      </c>
      <c r="B38" s="1057"/>
      <c r="C38" s="1087"/>
      <c r="D38" s="858">
        <v>165195.57</v>
      </c>
    </row>
    <row r="39" spans="1:4" ht="15">
      <c r="A39" s="808" t="s">
        <v>445</v>
      </c>
      <c r="B39" s="362"/>
      <c r="C39" s="377"/>
      <c r="D39" s="377"/>
    </row>
    <row r="40" spans="1:4" ht="14.25">
      <c r="A40" s="377" t="s">
        <v>515</v>
      </c>
      <c r="B40" s="362"/>
      <c r="C40" s="359">
        <v>1</v>
      </c>
      <c r="D40" s="1108">
        <v>7782</v>
      </c>
    </row>
    <row r="41" spans="1:4" ht="14.25">
      <c r="A41" s="377" t="s">
        <v>327</v>
      </c>
      <c r="B41" s="362" t="s">
        <v>111</v>
      </c>
      <c r="C41" s="359">
        <v>1</v>
      </c>
      <c r="D41" s="1108">
        <v>509.66</v>
      </c>
    </row>
    <row r="42" spans="1:4" ht="14.25">
      <c r="A42" s="377" t="s">
        <v>239</v>
      </c>
      <c r="B42" s="362" t="s">
        <v>40</v>
      </c>
      <c r="C42" s="359">
        <v>1</v>
      </c>
      <c r="D42" s="1108">
        <v>553.04</v>
      </c>
    </row>
    <row r="43" spans="1:4" ht="14.25">
      <c r="A43" s="377" t="s">
        <v>138</v>
      </c>
      <c r="B43" s="362" t="s">
        <v>52</v>
      </c>
      <c r="C43" s="359">
        <v>1</v>
      </c>
      <c r="D43" s="1108">
        <v>1872.33</v>
      </c>
    </row>
    <row r="44" spans="1:4" ht="15" thickBot="1">
      <c r="A44" s="799" t="s">
        <v>393</v>
      </c>
      <c r="B44" s="1235"/>
      <c r="C44" s="807">
        <v>4</v>
      </c>
      <c r="D44" s="1218">
        <v>1947.37</v>
      </c>
    </row>
    <row r="45" spans="1:4" ht="15.75" thickBot="1">
      <c r="A45" s="806" t="s">
        <v>701</v>
      </c>
      <c r="B45" s="1176"/>
      <c r="C45" s="1013"/>
      <c r="D45" s="1222">
        <v>12664.4</v>
      </c>
    </row>
    <row r="46" spans="1:4" ht="14.25">
      <c r="A46" s="465" t="s">
        <v>511</v>
      </c>
      <c r="B46" s="376"/>
      <c r="C46" s="377"/>
      <c r="D46" s="378"/>
    </row>
    <row r="47" spans="1:4" ht="14.25">
      <c r="A47" s="377" t="s">
        <v>423</v>
      </c>
      <c r="B47" s="362" t="s">
        <v>40</v>
      </c>
      <c r="C47" s="359">
        <v>5</v>
      </c>
      <c r="D47" s="1108">
        <v>4975.09</v>
      </c>
    </row>
    <row r="48" spans="1:4" ht="15" thickBot="1">
      <c r="A48" s="799" t="s">
        <v>197</v>
      </c>
      <c r="B48" s="1235"/>
      <c r="C48" s="807">
        <v>1</v>
      </c>
      <c r="D48" s="1218">
        <v>876.4</v>
      </c>
    </row>
    <row r="49" spans="1:4" ht="15.75" thickBot="1">
      <c r="A49" s="806" t="s">
        <v>701</v>
      </c>
      <c r="B49" s="1176"/>
      <c r="C49" s="1013"/>
      <c r="D49" s="1222">
        <v>5851.49</v>
      </c>
    </row>
    <row r="50" spans="1:4" ht="14.25">
      <c r="A50" s="465" t="s">
        <v>531</v>
      </c>
      <c r="B50" s="362"/>
      <c r="C50" s="359"/>
      <c r="D50" s="1108"/>
    </row>
    <row r="51" spans="1:4" ht="14.25">
      <c r="A51" s="359" t="s">
        <v>139</v>
      </c>
      <c r="B51" s="363" t="s">
        <v>40</v>
      </c>
      <c r="C51" s="359">
        <v>1</v>
      </c>
      <c r="D51" s="1218">
        <v>7435</v>
      </c>
    </row>
    <row r="52" spans="1:4" ht="15" thickBot="1">
      <c r="A52" s="799" t="s">
        <v>695</v>
      </c>
      <c r="B52" s="1175"/>
      <c r="C52" s="799">
        <v>1</v>
      </c>
      <c r="D52" s="1218">
        <v>664.52</v>
      </c>
    </row>
    <row r="53" spans="1:4" ht="15.75" thickBot="1">
      <c r="A53" s="806" t="s">
        <v>701</v>
      </c>
      <c r="B53" s="1236"/>
      <c r="C53" s="1237"/>
      <c r="D53" s="1238">
        <v>8099.52</v>
      </c>
    </row>
    <row r="54" spans="1:4" ht="14.25">
      <c r="A54" s="465"/>
      <c r="B54" s="376"/>
      <c r="C54" s="377"/>
      <c r="D54" s="378"/>
    </row>
    <row r="55" spans="1:4" ht="14.25">
      <c r="A55" s="465" t="s">
        <v>425</v>
      </c>
      <c r="B55" s="362"/>
      <c r="C55" s="359"/>
      <c r="D55" s="1108"/>
    </row>
    <row r="56" spans="1:4" ht="14.25">
      <c r="A56" s="377" t="s">
        <v>748</v>
      </c>
      <c r="B56" s="362" t="s">
        <v>140</v>
      </c>
      <c r="C56" s="359">
        <v>0.043</v>
      </c>
      <c r="D56" s="1108">
        <v>3927</v>
      </c>
    </row>
    <row r="57" spans="1:4" ht="14.25">
      <c r="A57" s="377" t="s">
        <v>212</v>
      </c>
      <c r="B57" s="362" t="s">
        <v>81</v>
      </c>
      <c r="C57" s="359">
        <v>7</v>
      </c>
      <c r="D57" s="1108">
        <v>2858.94</v>
      </c>
    </row>
    <row r="58" spans="1:4" ht="15" thickBot="1">
      <c r="A58" s="799" t="s">
        <v>882</v>
      </c>
      <c r="B58" s="1235"/>
      <c r="C58" s="807">
        <v>5</v>
      </c>
      <c r="D58" s="1218">
        <v>7692.92</v>
      </c>
    </row>
    <row r="59" spans="1:4" ht="15.75" thickBot="1">
      <c r="A59" s="806" t="s">
        <v>701</v>
      </c>
      <c r="B59" s="957"/>
      <c r="C59" s="1013"/>
      <c r="D59" s="941">
        <v>14478.86</v>
      </c>
    </row>
    <row r="60" spans="1:4" ht="15">
      <c r="A60" s="808" t="s">
        <v>386</v>
      </c>
      <c r="B60" s="1015"/>
      <c r="C60" s="385"/>
      <c r="D60" s="532"/>
    </row>
    <row r="61" spans="1:4" ht="15">
      <c r="A61" s="377" t="s">
        <v>886</v>
      </c>
      <c r="B61" s="1015" t="s">
        <v>40</v>
      </c>
      <c r="C61" s="385">
        <v>3</v>
      </c>
      <c r="D61" s="532">
        <v>1697.02</v>
      </c>
    </row>
    <row r="62" spans="1:11" ht="15">
      <c r="A62" s="377" t="s">
        <v>415</v>
      </c>
      <c r="B62" s="1015" t="s">
        <v>52</v>
      </c>
      <c r="C62" s="385">
        <v>1</v>
      </c>
      <c r="D62" s="532">
        <v>442.18</v>
      </c>
      <c r="K62" s="416"/>
    </row>
    <row r="63" spans="1:4" ht="15.75" thickBot="1">
      <c r="A63" s="799" t="s">
        <v>692</v>
      </c>
      <c r="B63" s="1107"/>
      <c r="C63" s="1016">
        <v>4</v>
      </c>
      <c r="D63" s="541">
        <v>2625.05</v>
      </c>
    </row>
    <row r="64" spans="1:4" ht="15.75" thickBot="1">
      <c r="A64" s="806" t="s">
        <v>701</v>
      </c>
      <c r="B64" s="802"/>
      <c r="C64" s="1017"/>
      <c r="D64" s="858">
        <v>4764.25</v>
      </c>
    </row>
    <row r="65" spans="1:4" ht="15">
      <c r="A65" s="377"/>
      <c r="B65" s="1015"/>
      <c r="C65" s="385"/>
      <c r="D65" s="598"/>
    </row>
    <row r="66" spans="1:4" ht="15.75" thickBot="1">
      <c r="A66" s="807"/>
      <c r="B66" s="381"/>
      <c r="C66" s="1014"/>
      <c r="D66" s="424"/>
    </row>
    <row r="67" spans="1:4" ht="15.75" thickBot="1">
      <c r="A67" s="806" t="s">
        <v>375</v>
      </c>
      <c r="B67" s="1018"/>
      <c r="C67" s="1013"/>
      <c r="D67" s="841">
        <v>211054.09</v>
      </c>
    </row>
    <row r="68" spans="1:4" ht="15">
      <c r="A68" s="377"/>
      <c r="B68" s="760"/>
      <c r="C68" s="377"/>
      <c r="D68" s="810"/>
    </row>
    <row r="69" spans="1:4" ht="15">
      <c r="A69" s="944" t="s">
        <v>743</v>
      </c>
      <c r="B69" s="358"/>
      <c r="C69" s="369"/>
      <c r="D69" s="1077">
        <v>25638.02</v>
      </c>
    </row>
    <row r="70" spans="1:4" ht="15">
      <c r="A70" s="944" t="s">
        <v>581</v>
      </c>
      <c r="B70" s="358"/>
      <c r="C70" s="369"/>
      <c r="D70" s="869">
        <v>22651.47</v>
      </c>
    </row>
    <row r="71" spans="1:4" ht="15">
      <c r="A71" s="808" t="s">
        <v>775</v>
      </c>
      <c r="B71" s="368"/>
      <c r="C71" s="369"/>
      <c r="D71" s="428">
        <v>128755.18</v>
      </c>
    </row>
    <row r="72" spans="1:4" ht="15.75" thickBot="1">
      <c r="A72" s="526"/>
      <c r="B72" s="381"/>
      <c r="C72" s="519"/>
      <c r="D72" s="541"/>
    </row>
    <row r="73" spans="1:4" ht="15.75" thickBot="1">
      <c r="A73" s="806" t="s">
        <v>918</v>
      </c>
      <c r="B73" s="957"/>
      <c r="C73" s="907"/>
      <c r="D73" s="858">
        <v>697158.03</v>
      </c>
    </row>
    <row r="76" spans="1:4" ht="15">
      <c r="A76" s="370"/>
      <c r="B76" s="370"/>
      <c r="C76" s="370"/>
      <c r="D76" s="371"/>
    </row>
    <row r="77" spans="1:4" ht="15">
      <c r="A77" s="370"/>
      <c r="B77" s="370"/>
      <c r="C77" s="370"/>
      <c r="D77" s="371"/>
    </row>
    <row r="78" spans="1:4" ht="14.25">
      <c r="A78" s="764"/>
      <c r="B78" s="358"/>
      <c r="C78" s="359"/>
      <c r="D78" s="1262"/>
    </row>
    <row r="79" spans="1:4" ht="15">
      <c r="A79" s="1251" t="s">
        <v>568</v>
      </c>
      <c r="B79" s="1257"/>
      <c r="C79" s="467"/>
      <c r="D79" s="467">
        <v>0</v>
      </c>
    </row>
    <row r="80" spans="1:4" ht="15">
      <c r="A80" s="1332" t="s">
        <v>569</v>
      </c>
      <c r="B80" s="1332"/>
      <c r="C80" s="628"/>
      <c r="D80" s="608">
        <v>634527.07</v>
      </c>
    </row>
    <row r="81" spans="1:4" ht="15">
      <c r="A81" s="1332" t="s">
        <v>570</v>
      </c>
      <c r="B81" s="1332"/>
      <c r="C81" s="607"/>
      <c r="D81" s="608">
        <v>697158.03</v>
      </c>
    </row>
    <row r="82" spans="1:4" ht="15">
      <c r="A82" s="1333" t="s">
        <v>571</v>
      </c>
      <c r="B82" s="1333"/>
      <c r="C82" s="629"/>
      <c r="D82" s="629">
        <v>62630.96</v>
      </c>
    </row>
    <row r="83" spans="1:4" ht="15">
      <c r="A83" s="1332" t="s">
        <v>179</v>
      </c>
      <c r="B83" s="1332"/>
      <c r="C83" s="1258"/>
      <c r="D83" s="630">
        <v>62630.96</v>
      </c>
    </row>
    <row r="84" spans="1:4" ht="15">
      <c r="A84" s="538"/>
      <c r="B84" s="538"/>
      <c r="C84" s="1259"/>
      <c r="D84" s="1260"/>
    </row>
    <row r="85" spans="1:4" ht="15">
      <c r="A85" s="538"/>
      <c r="B85" s="538"/>
      <c r="C85" s="1259"/>
      <c r="D85" s="1260"/>
    </row>
    <row r="86" spans="1:4" ht="15">
      <c r="A86" s="538"/>
      <c r="B86" s="538"/>
      <c r="C86" s="1259"/>
      <c r="D86" s="1260"/>
    </row>
    <row r="87" spans="1:4" ht="15">
      <c r="A87" s="538" t="s">
        <v>180</v>
      </c>
      <c r="B87" s="538"/>
      <c r="C87" s="1259" t="s">
        <v>573</v>
      </c>
      <c r="D87" s="1260"/>
    </row>
    <row r="88" spans="1:4" ht="15">
      <c r="A88" s="538"/>
      <c r="B88" s="538"/>
      <c r="C88" s="1259"/>
      <c r="D88" s="1260"/>
    </row>
    <row r="89" ht="12.75">
      <c r="A89" s="735" t="s">
        <v>357</v>
      </c>
    </row>
    <row r="90" ht="12.75">
      <c r="A90" s="735" t="s">
        <v>906</v>
      </c>
    </row>
    <row r="91" ht="12.75">
      <c r="A91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80:B80"/>
    <mergeCell ref="A81:B81"/>
    <mergeCell ref="A82:B82"/>
    <mergeCell ref="A83:B83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99CC"/>
  </sheetPr>
  <dimension ref="A3:D86"/>
  <sheetViews>
    <sheetView zoomScalePageLayoutView="0" workbookViewId="0" topLeftCell="A9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330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89766.21</v>
      </c>
      <c r="D13" s="1378"/>
    </row>
    <row r="14" spans="1:4" ht="14.25">
      <c r="A14" s="471" t="s">
        <v>486</v>
      </c>
      <c r="B14" s="473"/>
      <c r="C14" s="1375">
        <v>664449.6</v>
      </c>
      <c r="D14" s="1376"/>
    </row>
    <row r="15" spans="1:4" ht="14.25">
      <c r="A15" s="470" t="s">
        <v>647</v>
      </c>
      <c r="B15" s="474"/>
      <c r="C15" s="1312">
        <v>631646.77</v>
      </c>
      <c r="D15" s="1313"/>
    </row>
    <row r="16" spans="1:4" ht="15">
      <c r="A16" s="475" t="s">
        <v>348</v>
      </c>
      <c r="B16" s="476"/>
      <c r="C16" s="1377">
        <f>C13+C14-C15</f>
        <v>122569.03999999992</v>
      </c>
      <c r="D16" s="1378"/>
    </row>
    <row r="17" spans="1:4" ht="14.25">
      <c r="A17" s="470" t="s">
        <v>539</v>
      </c>
      <c r="B17" s="474"/>
      <c r="C17" s="1407">
        <v>701659.69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118375.34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69354.07</v>
      </c>
    </row>
    <row r="27" spans="1:4" ht="24.75">
      <c r="A27" s="546" t="s">
        <v>14</v>
      </c>
      <c r="B27" s="397" t="s">
        <v>657</v>
      </c>
      <c r="C27" s="506"/>
      <c r="D27" s="507">
        <v>86701.58</v>
      </c>
    </row>
    <row r="28" spans="1:4" ht="29.25">
      <c r="A28" s="492" t="s">
        <v>395</v>
      </c>
      <c r="B28" s="399"/>
      <c r="C28" s="508"/>
      <c r="D28" s="509">
        <v>9128.2</v>
      </c>
    </row>
    <row r="29" spans="1:4" ht="15">
      <c r="A29" s="492" t="s">
        <v>799</v>
      </c>
      <c r="B29" s="399"/>
      <c r="C29" s="508"/>
      <c r="D29" s="509">
        <v>20965.76</v>
      </c>
    </row>
    <row r="30" spans="1:4" ht="15.75" thickBot="1">
      <c r="A30" s="413" t="s">
        <v>909</v>
      </c>
      <c r="B30" s="609" t="s">
        <v>661</v>
      </c>
      <c r="C30" s="610"/>
      <c r="D30" s="595">
        <v>452</v>
      </c>
    </row>
    <row r="31" spans="1:4" ht="15.75" thickBot="1">
      <c r="A31" s="805" t="s">
        <v>901</v>
      </c>
      <c r="B31" s="980"/>
      <c r="C31" s="981"/>
      <c r="D31" s="839">
        <v>304976.95</v>
      </c>
    </row>
    <row r="32" spans="1:4" ht="15.75" thickBot="1">
      <c r="A32" s="487" t="s">
        <v>914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28.5">
      <c r="A34" s="546" t="s">
        <v>144</v>
      </c>
      <c r="B34" s="433" t="s">
        <v>40</v>
      </c>
      <c r="C34" s="443">
        <v>3</v>
      </c>
      <c r="D34" s="434">
        <v>2058.21</v>
      </c>
    </row>
    <row r="35" spans="1:4" ht="15">
      <c r="A35" s="383" t="s">
        <v>420</v>
      </c>
      <c r="B35" s="514"/>
      <c r="C35" s="443">
        <v>1</v>
      </c>
      <c r="D35" s="434">
        <v>3239.08</v>
      </c>
    </row>
    <row r="36" spans="1:4" ht="15">
      <c r="A36" s="383" t="s">
        <v>145</v>
      </c>
      <c r="B36" s="514"/>
      <c r="C36" s="443">
        <v>1</v>
      </c>
      <c r="D36" s="434">
        <v>340.62</v>
      </c>
    </row>
    <row r="37" spans="1:4" ht="15">
      <c r="A37" s="383" t="s">
        <v>697</v>
      </c>
      <c r="B37" s="514"/>
      <c r="C37" s="443">
        <v>1</v>
      </c>
      <c r="D37" s="434">
        <v>1079.66</v>
      </c>
    </row>
    <row r="38" spans="1:4" ht="15">
      <c r="A38" s="383" t="s">
        <v>11</v>
      </c>
      <c r="B38" s="570"/>
      <c r="C38" s="571"/>
      <c r="D38" s="623">
        <v>23155.87</v>
      </c>
    </row>
    <row r="39" spans="1:4" ht="15.75" thickBot="1">
      <c r="A39" s="390" t="s">
        <v>389</v>
      </c>
      <c r="B39" s="748"/>
      <c r="C39" s="674">
        <v>1</v>
      </c>
      <c r="D39" s="459">
        <v>140858.65</v>
      </c>
    </row>
    <row r="40" spans="1:4" ht="15.75" thickBot="1">
      <c r="A40" s="806" t="s">
        <v>901</v>
      </c>
      <c r="B40" s="811"/>
      <c r="C40" s="1013"/>
      <c r="D40" s="858">
        <v>170732.09</v>
      </c>
    </row>
    <row r="41" spans="1:4" ht="15">
      <c r="A41" s="808" t="s">
        <v>445</v>
      </c>
      <c r="B41" s="800"/>
      <c r="C41" s="377"/>
      <c r="D41" s="377"/>
    </row>
    <row r="42" spans="1:4" ht="15">
      <c r="A42" s="377" t="s">
        <v>318</v>
      </c>
      <c r="B42" s="365" t="s">
        <v>211</v>
      </c>
      <c r="C42" s="359">
        <v>1</v>
      </c>
      <c r="D42" s="422">
        <v>5373.89</v>
      </c>
    </row>
    <row r="43" spans="1:4" ht="15">
      <c r="A43" s="359" t="s">
        <v>393</v>
      </c>
      <c r="B43" s="677"/>
      <c r="C43" s="359">
        <v>4</v>
      </c>
      <c r="D43" s="424">
        <v>1554.79</v>
      </c>
    </row>
    <row r="44" spans="1:4" ht="15">
      <c r="A44" s="359" t="s">
        <v>704</v>
      </c>
      <c r="B44" s="677" t="s">
        <v>478</v>
      </c>
      <c r="C44" s="363">
        <v>1</v>
      </c>
      <c r="D44" s="425">
        <v>609.61</v>
      </c>
    </row>
    <row r="45" spans="1:4" ht="15.75" thickBot="1">
      <c r="A45" s="807" t="s">
        <v>966</v>
      </c>
      <c r="B45" s="934"/>
      <c r="C45" s="1014">
        <v>1</v>
      </c>
      <c r="D45" s="425">
        <v>26603</v>
      </c>
    </row>
    <row r="46" spans="1:4" ht="15.75" thickBot="1">
      <c r="A46" s="806" t="s">
        <v>901</v>
      </c>
      <c r="B46" s="825"/>
      <c r="C46" s="1017"/>
      <c r="D46" s="533">
        <v>34141.29</v>
      </c>
    </row>
    <row r="47" spans="1:4" ht="15">
      <c r="A47" s="808" t="s">
        <v>780</v>
      </c>
      <c r="B47" s="935"/>
      <c r="C47" s="385"/>
      <c r="D47" s="810"/>
    </row>
    <row r="48" spans="1:4" ht="15">
      <c r="A48" s="359" t="s">
        <v>143</v>
      </c>
      <c r="B48" s="677" t="s">
        <v>140</v>
      </c>
      <c r="C48" s="363">
        <v>0.03</v>
      </c>
      <c r="D48" s="425">
        <v>4332</v>
      </c>
    </row>
    <row r="49" spans="1:4" ht="15">
      <c r="A49" s="359" t="s">
        <v>727</v>
      </c>
      <c r="B49" s="677"/>
      <c r="C49" s="363">
        <v>6</v>
      </c>
      <c r="D49" s="425">
        <v>3157</v>
      </c>
    </row>
    <row r="50" spans="1:4" ht="15">
      <c r="A50" s="359" t="s">
        <v>525</v>
      </c>
      <c r="B50" s="677" t="s">
        <v>211</v>
      </c>
      <c r="C50" s="363">
        <v>1</v>
      </c>
      <c r="D50" s="425">
        <v>4577.28</v>
      </c>
    </row>
    <row r="51" spans="1:4" ht="15.75" thickBot="1">
      <c r="A51" s="807" t="s">
        <v>174</v>
      </c>
      <c r="B51" s="934" t="s">
        <v>40</v>
      </c>
      <c r="C51" s="1014">
        <v>1</v>
      </c>
      <c r="D51" s="425">
        <v>1340.69</v>
      </c>
    </row>
    <row r="52" spans="1:4" ht="15.75" thickBot="1">
      <c r="A52" s="806" t="s">
        <v>901</v>
      </c>
      <c r="B52" s="825"/>
      <c r="C52" s="1017"/>
      <c r="D52" s="533">
        <v>13406.97</v>
      </c>
    </row>
    <row r="53" spans="1:4" ht="15">
      <c r="A53" s="808" t="s">
        <v>361</v>
      </c>
      <c r="B53" s="935"/>
      <c r="C53" s="385"/>
      <c r="D53" s="810"/>
    </row>
    <row r="54" spans="1:4" ht="15">
      <c r="A54" s="377" t="s">
        <v>126</v>
      </c>
      <c r="B54" s="935" t="s">
        <v>140</v>
      </c>
      <c r="C54" s="385">
        <v>0.02</v>
      </c>
      <c r="D54" s="532">
        <v>3586</v>
      </c>
    </row>
    <row r="55" spans="1:4" ht="15">
      <c r="A55" s="359" t="s">
        <v>212</v>
      </c>
      <c r="B55" s="677" t="s">
        <v>81</v>
      </c>
      <c r="C55" s="363">
        <v>1</v>
      </c>
      <c r="D55" s="425">
        <v>810.36</v>
      </c>
    </row>
    <row r="56" spans="1:4" ht="15.75" thickBot="1">
      <c r="A56" s="807" t="s">
        <v>882</v>
      </c>
      <c r="B56" s="934"/>
      <c r="C56" s="1014">
        <v>1</v>
      </c>
      <c r="D56" s="425">
        <v>2824.4</v>
      </c>
    </row>
    <row r="57" spans="1:4" ht="15.75" thickBot="1">
      <c r="A57" s="806" t="s">
        <v>901</v>
      </c>
      <c r="B57" s="825"/>
      <c r="C57" s="1220"/>
      <c r="D57" s="932">
        <v>7220.76</v>
      </c>
    </row>
    <row r="58" spans="1:4" ht="15">
      <c r="A58" s="808" t="s">
        <v>781</v>
      </c>
      <c r="B58" s="570"/>
      <c r="C58" s="385"/>
      <c r="D58" s="598"/>
    </row>
    <row r="59" spans="1:4" ht="15">
      <c r="A59" s="377" t="s">
        <v>886</v>
      </c>
      <c r="B59" s="570" t="s">
        <v>40</v>
      </c>
      <c r="C59" s="385">
        <v>7</v>
      </c>
      <c r="D59" s="532">
        <v>3401.83</v>
      </c>
    </row>
    <row r="60" spans="1:4" ht="15.75" thickBot="1">
      <c r="A60" s="799" t="s">
        <v>402</v>
      </c>
      <c r="B60" s="834"/>
      <c r="C60" s="1016">
        <v>2</v>
      </c>
      <c r="D60" s="541">
        <v>1332.18</v>
      </c>
    </row>
    <row r="61" spans="1:4" ht="15.75" thickBot="1">
      <c r="A61" s="806" t="s">
        <v>901</v>
      </c>
      <c r="B61" s="811"/>
      <c r="C61" s="1017"/>
      <c r="D61" s="858">
        <v>4734.01</v>
      </c>
    </row>
    <row r="62" spans="1:4" ht="15.75" thickBot="1">
      <c r="A62" s="938"/>
      <c r="B62" s="834"/>
      <c r="C62" s="1016"/>
      <c r="D62" s="835"/>
    </row>
    <row r="63" spans="1:4" ht="15.75" thickBot="1">
      <c r="A63" s="806" t="s">
        <v>146</v>
      </c>
      <c r="B63" s="811"/>
      <c r="C63" s="1023"/>
      <c r="D63" s="863">
        <v>230235.12</v>
      </c>
    </row>
    <row r="64" spans="1:4" ht="15">
      <c r="A64" s="377"/>
      <c r="B64" s="570"/>
      <c r="C64" s="383"/>
      <c r="D64" s="598"/>
    </row>
    <row r="65" spans="1:4" ht="15">
      <c r="A65" s="808" t="s">
        <v>142</v>
      </c>
      <c r="B65" s="757"/>
      <c r="C65" s="369"/>
      <c r="D65" s="428">
        <v>25681.34</v>
      </c>
    </row>
    <row r="66" spans="1:4" ht="15">
      <c r="A66" s="955" t="s">
        <v>141</v>
      </c>
      <c r="B66" s="365"/>
      <c r="C66" s="369"/>
      <c r="D66" s="869">
        <v>11177.26</v>
      </c>
    </row>
    <row r="67" spans="1:4" ht="15.75" thickBot="1">
      <c r="A67" s="937" t="s">
        <v>735</v>
      </c>
      <c r="B67" s="758"/>
      <c r="C67" s="519"/>
      <c r="D67" s="1039">
        <v>129589.02</v>
      </c>
    </row>
    <row r="68" spans="1:4" ht="15.75" thickBot="1">
      <c r="A68" s="806" t="s">
        <v>36</v>
      </c>
      <c r="B68" s="957"/>
      <c r="C68" s="907"/>
      <c r="D68" s="858">
        <v>701659.69</v>
      </c>
    </row>
    <row r="71" spans="1:4" ht="15">
      <c r="A71" s="370"/>
      <c r="B71" s="370"/>
      <c r="C71" s="370"/>
      <c r="D71" s="371"/>
    </row>
    <row r="72" spans="1:4" ht="15">
      <c r="A72" s="370"/>
      <c r="B72" s="370"/>
      <c r="C72" s="370"/>
      <c r="D72" s="371"/>
    </row>
    <row r="73" spans="1:4" ht="14.25">
      <c r="A73" s="764"/>
      <c r="B73" s="358"/>
      <c r="C73" s="359"/>
      <c r="D73" s="1262"/>
    </row>
    <row r="74" spans="1:4" ht="15">
      <c r="A74" s="1251" t="s">
        <v>568</v>
      </c>
      <c r="B74" s="1257"/>
      <c r="C74" s="467"/>
      <c r="D74" s="467">
        <v>0</v>
      </c>
    </row>
    <row r="75" spans="1:4" ht="15">
      <c r="A75" s="1332" t="s">
        <v>569</v>
      </c>
      <c r="B75" s="1332"/>
      <c r="C75" s="628"/>
      <c r="D75" s="608">
        <v>631646.77</v>
      </c>
    </row>
    <row r="76" spans="1:4" ht="15">
      <c r="A76" s="1332" t="s">
        <v>570</v>
      </c>
      <c r="B76" s="1332"/>
      <c r="C76" s="607"/>
      <c r="D76" s="608">
        <v>701659.69</v>
      </c>
    </row>
    <row r="77" spans="1:4" ht="15">
      <c r="A77" s="1333" t="s">
        <v>571</v>
      </c>
      <c r="B77" s="1333"/>
      <c r="C77" s="629"/>
      <c r="D77" s="629">
        <v>70012.92</v>
      </c>
    </row>
    <row r="78" spans="1:4" ht="15">
      <c r="A78" s="1332" t="s">
        <v>179</v>
      </c>
      <c r="B78" s="1332"/>
      <c r="C78" s="1258"/>
      <c r="D78" s="630">
        <v>70012.92</v>
      </c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 t="s">
        <v>180</v>
      </c>
      <c r="B82" s="538"/>
      <c r="C82" s="1259" t="s">
        <v>573</v>
      </c>
      <c r="D82" s="1260"/>
    </row>
    <row r="83" spans="1:4" ht="15">
      <c r="A83" s="538"/>
      <c r="B83" s="538"/>
      <c r="C83" s="1259"/>
      <c r="D83" s="1260"/>
    </row>
    <row r="84" ht="12.75">
      <c r="A84" s="735" t="s">
        <v>357</v>
      </c>
    </row>
    <row r="85" ht="12.75">
      <c r="A85" s="735" t="s">
        <v>906</v>
      </c>
    </row>
    <row r="86" ht="12.75">
      <c r="A86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75:B75"/>
    <mergeCell ref="A76:B76"/>
    <mergeCell ref="A77:B77"/>
    <mergeCell ref="A78:B78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6">
      <selection activeCell="B15" sqref="B15:C1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2.710937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867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113587.96+602.89</f>
        <v>114190.85</v>
      </c>
      <c r="E11" s="25">
        <v>19408.49</v>
      </c>
    </row>
    <row r="12" spans="2:5" ht="16.5" thickBot="1">
      <c r="B12" s="1398" t="s">
        <v>646</v>
      </c>
      <c r="C12" s="1399"/>
      <c r="D12" s="25">
        <f>984550.47+3293.12</f>
        <v>987843.59</v>
      </c>
      <c r="E12" s="25">
        <v>45224.86</v>
      </c>
    </row>
    <row r="13" spans="2:5" ht="16.5" thickBot="1">
      <c r="B13" s="1398" t="s">
        <v>647</v>
      </c>
      <c r="C13" s="1399"/>
      <c r="D13" s="25">
        <f>996760.91+3875.93</f>
        <v>1000636.8400000001</v>
      </c>
      <c r="E13" s="25">
        <v>64633.35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22088.4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101397.59999999986</v>
      </c>
      <c r="E17" s="25">
        <f>E11+E12-E13</f>
        <v>0</v>
      </c>
    </row>
    <row r="18" spans="2:5" ht="16.5" thickBot="1">
      <c r="B18" s="1398" t="s">
        <v>832</v>
      </c>
      <c r="C18" s="1399"/>
      <c r="D18" s="75">
        <f>E25+E47</f>
        <v>835185.06</v>
      </c>
      <c r="E18" s="73">
        <v>18898.4</v>
      </c>
    </row>
    <row r="19" spans="3:4" ht="12.75">
      <c r="C19" s="83"/>
      <c r="D19" s="81"/>
    </row>
    <row r="20" spans="3:4" ht="12.75">
      <c r="C20" s="83"/>
      <c r="D20" s="81"/>
    </row>
    <row r="21" spans="2:5" ht="18.75">
      <c r="B21" s="1397" t="s">
        <v>650</v>
      </c>
      <c r="C21" s="1397"/>
      <c r="D21" s="1397"/>
      <c r="E21" s="1397"/>
    </row>
    <row r="22" spans="2:5" ht="18.75">
      <c r="B22" s="1397" t="s">
        <v>1009</v>
      </c>
      <c r="C22" s="1397"/>
      <c r="D22" s="1397"/>
      <c r="E22" s="1397"/>
    </row>
    <row r="23" ht="13.5" thickBot="1">
      <c r="D23" s="11"/>
    </row>
    <row r="24" spans="1:5" ht="48" thickBot="1">
      <c r="A24" s="9"/>
      <c r="B24" s="34" t="s">
        <v>651</v>
      </c>
      <c r="C24" s="60" t="s">
        <v>667</v>
      </c>
      <c r="D24" s="59" t="s">
        <v>673</v>
      </c>
      <c r="E24" s="63" t="s">
        <v>793</v>
      </c>
    </row>
    <row r="25" spans="1:5" ht="20.25" thickBot="1">
      <c r="A25" s="9"/>
      <c r="B25" s="35" t="s">
        <v>761</v>
      </c>
      <c r="C25" s="61"/>
      <c r="D25" s="10"/>
      <c r="E25" s="62">
        <f>E26+E32+E34+E45+E44</f>
        <v>504332.99</v>
      </c>
    </row>
    <row r="26" spans="1:5" ht="32.25" thickBot="1">
      <c r="A26" s="11"/>
      <c r="B26" s="67" t="s">
        <v>662</v>
      </c>
      <c r="C26" s="64" t="s">
        <v>652</v>
      </c>
      <c r="D26" s="43"/>
      <c r="E26" s="230">
        <v>187122.69</v>
      </c>
    </row>
    <row r="27" spans="2:5" ht="32.25" hidden="1" thickBot="1">
      <c r="B27" s="67" t="s">
        <v>686</v>
      </c>
      <c r="C27" s="65" t="s">
        <v>661</v>
      </c>
      <c r="D27" s="44"/>
      <c r="E27" s="174"/>
    </row>
    <row r="28" spans="2:5" ht="16.5" hidden="1" thickBot="1">
      <c r="B28" s="67" t="s">
        <v>765</v>
      </c>
      <c r="C28" s="65" t="s">
        <v>661</v>
      </c>
      <c r="D28" s="44"/>
      <c r="E28" s="174"/>
    </row>
    <row r="29" spans="2:5" ht="39.75" hidden="1" thickBot="1">
      <c r="B29" s="67" t="s">
        <v>655</v>
      </c>
      <c r="C29" s="64" t="s">
        <v>653</v>
      </c>
      <c r="D29" s="45"/>
      <c r="E29" s="237"/>
    </row>
    <row r="30" spans="2:5" ht="48" hidden="1" thickBot="1">
      <c r="B30" s="67" t="s">
        <v>796</v>
      </c>
      <c r="C30" s="65" t="s">
        <v>661</v>
      </c>
      <c r="D30" s="44"/>
      <c r="E30" s="174"/>
    </row>
    <row r="31" spans="2:5" ht="48" hidden="1" thickBot="1">
      <c r="B31" s="67" t="s">
        <v>797</v>
      </c>
      <c r="C31" s="65" t="s">
        <v>661</v>
      </c>
      <c r="D31" s="44"/>
      <c r="E31" s="174"/>
    </row>
    <row r="32" spans="2:5" ht="16.5" thickBot="1">
      <c r="B32" s="67" t="s">
        <v>654</v>
      </c>
      <c r="C32" s="48" t="s">
        <v>656</v>
      </c>
      <c r="D32" s="43" t="s">
        <v>801</v>
      </c>
      <c r="E32" s="230">
        <v>150914.02</v>
      </c>
    </row>
    <row r="33" spans="2:5" ht="32.25" hidden="1" thickBot="1">
      <c r="B33" s="67" t="s">
        <v>798</v>
      </c>
      <c r="C33" s="65" t="s">
        <v>661</v>
      </c>
      <c r="D33" s="47" t="s">
        <v>822</v>
      </c>
      <c r="E33" s="174"/>
    </row>
    <row r="34" spans="2:5" ht="27" thickBot="1">
      <c r="B34" s="67" t="s">
        <v>658</v>
      </c>
      <c r="C34" s="64" t="s">
        <v>657</v>
      </c>
      <c r="D34" s="43"/>
      <c r="E34" s="230">
        <v>132144.29</v>
      </c>
    </row>
    <row r="35" spans="2:5" ht="32.2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94.5" hidden="1" thickBot="1">
      <c r="B38" s="36" t="s">
        <v>790</v>
      </c>
      <c r="C38" s="65" t="s">
        <v>661</v>
      </c>
      <c r="D38" s="44"/>
      <c r="E38" s="174"/>
    </row>
    <row r="39" spans="2:5" ht="63.75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52.5" hidden="1" thickBot="1">
      <c r="B42" s="67" t="s">
        <v>670</v>
      </c>
      <c r="C42" s="64" t="s">
        <v>684</v>
      </c>
      <c r="D42" s="46"/>
      <c r="E42" s="240"/>
    </row>
    <row r="43" spans="2:5" ht="63.75" hidden="1" thickBot="1">
      <c r="B43" s="68" t="s">
        <v>800</v>
      </c>
      <c r="C43" s="65" t="s">
        <v>661</v>
      </c>
      <c r="D43" s="44"/>
      <c r="E43" s="251"/>
    </row>
    <row r="44" spans="2:5" ht="16.5" thickBot="1">
      <c r="B44" s="133" t="s">
        <v>799</v>
      </c>
      <c r="C44" s="64" t="s">
        <v>661</v>
      </c>
      <c r="D44" s="44"/>
      <c r="E44" s="274">
        <v>2488.38</v>
      </c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31663.61</v>
      </c>
    </row>
    <row r="46" spans="2:5" ht="32.25" hidden="1" thickBot="1">
      <c r="B46" s="70" t="s">
        <v>802</v>
      </c>
      <c r="C46" s="47"/>
      <c r="D46" s="44"/>
      <c r="E46" s="252"/>
    </row>
    <row r="47" spans="2:5" ht="20.25" thickBot="1">
      <c r="B47" s="14" t="s">
        <v>760</v>
      </c>
      <c r="C47" s="17"/>
      <c r="E47" s="261">
        <f>E61</f>
        <v>330852.07</v>
      </c>
    </row>
    <row r="48" spans="2:5" ht="24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>
      <c r="B49" s="217" t="s">
        <v>816</v>
      </c>
      <c r="C49" s="255" t="s">
        <v>661</v>
      </c>
      <c r="D49" s="149"/>
      <c r="E49" s="266">
        <v>3606.07</v>
      </c>
    </row>
    <row r="50" spans="2:5" ht="15.75">
      <c r="B50" s="188" t="s">
        <v>930</v>
      </c>
      <c r="C50" s="255" t="s">
        <v>661</v>
      </c>
      <c r="D50" s="154"/>
      <c r="E50" s="266">
        <f>491.83+1852.17</f>
        <v>2344</v>
      </c>
    </row>
    <row r="51" spans="2:5" ht="14.25">
      <c r="B51" s="188" t="s">
        <v>928</v>
      </c>
      <c r="C51" s="74" t="s">
        <v>661</v>
      </c>
      <c r="D51" s="153"/>
      <c r="E51" s="177">
        <f>3095.78+625.41</f>
        <v>3721.19</v>
      </c>
    </row>
    <row r="52" spans="2:5" ht="15.75">
      <c r="B52" s="188" t="s">
        <v>1000</v>
      </c>
      <c r="C52" s="255" t="s">
        <v>661</v>
      </c>
      <c r="D52" s="154"/>
      <c r="E52" s="266">
        <f>168504</f>
        <v>168504</v>
      </c>
    </row>
    <row r="53" spans="2:5" ht="14.25">
      <c r="B53" s="151" t="s">
        <v>676</v>
      </c>
      <c r="C53" s="116"/>
      <c r="D53" s="153"/>
      <c r="E53" s="177"/>
    </row>
    <row r="54" spans="2:5" ht="14.25">
      <c r="B54" s="132" t="s">
        <v>883</v>
      </c>
      <c r="C54" s="74" t="s">
        <v>661</v>
      </c>
      <c r="D54" s="153"/>
      <c r="E54" s="179">
        <f>359.73+48609.32</f>
        <v>48969.05</v>
      </c>
    </row>
    <row r="55" spans="2:5" ht="14.25">
      <c r="B55" s="157" t="s">
        <v>880</v>
      </c>
      <c r="C55" s="74" t="s">
        <v>661</v>
      </c>
      <c r="D55" s="152"/>
      <c r="E55" s="177">
        <f>12867.75</f>
        <v>12867.75</v>
      </c>
    </row>
    <row r="56" spans="2:5" ht="14.25">
      <c r="B56" s="157" t="s">
        <v>925</v>
      </c>
      <c r="C56" s="74" t="s">
        <v>661</v>
      </c>
      <c r="D56" s="152"/>
      <c r="E56" s="177">
        <f>39232.22+20049.75</f>
        <v>59281.97</v>
      </c>
    </row>
    <row r="57" spans="2:5" ht="15">
      <c r="B57" s="151" t="s">
        <v>1025</v>
      </c>
      <c r="C57" s="118"/>
      <c r="D57" s="152"/>
      <c r="E57" s="220"/>
    </row>
    <row r="58" spans="2:5" ht="14.25">
      <c r="B58" s="159" t="s">
        <v>998</v>
      </c>
      <c r="C58" s="74" t="s">
        <v>661</v>
      </c>
      <c r="D58" s="152"/>
      <c r="E58" s="177">
        <f>24509.67+4943.25</f>
        <v>29452.92</v>
      </c>
    </row>
    <row r="59" spans="2:5" ht="15">
      <c r="B59" s="159" t="s">
        <v>929</v>
      </c>
      <c r="C59" s="74" t="s">
        <v>661</v>
      </c>
      <c r="D59" s="13"/>
      <c r="E59" s="268">
        <v>2105.12</v>
      </c>
    </row>
    <row r="60" spans="2:5" ht="12.75" hidden="1">
      <c r="B60" s="13"/>
      <c r="C60" s="13"/>
      <c r="D60" s="13"/>
      <c r="E60" s="85"/>
    </row>
    <row r="61" spans="2:5" ht="12.75" hidden="1">
      <c r="B61" s="117" t="s">
        <v>1014</v>
      </c>
      <c r="C61" s="13"/>
      <c r="D61" s="13"/>
      <c r="E61" s="256">
        <f>E49+E54+E55+E58+E59+E56+E50+E52+E51</f>
        <v>330852.07</v>
      </c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207"/>
    </row>
    <row r="66" spans="2:5" ht="12.75">
      <c r="B66" s="11"/>
      <c r="C66" s="11"/>
      <c r="D66" s="11"/>
      <c r="E66" s="207"/>
    </row>
    <row r="67" spans="2:5" ht="15.75">
      <c r="B67" s="6" t="s">
        <v>830</v>
      </c>
      <c r="C67" s="6" t="s">
        <v>889</v>
      </c>
      <c r="E67" s="254"/>
    </row>
    <row r="70" ht="15.75">
      <c r="B70" s="7"/>
    </row>
  </sheetData>
  <sheetProtection/>
  <mergeCells count="15">
    <mergeCell ref="B7:C7"/>
    <mergeCell ref="B9:C10"/>
    <mergeCell ref="B2:C2"/>
    <mergeCell ref="B3:C3"/>
    <mergeCell ref="B4:C4"/>
    <mergeCell ref="B5:C5"/>
    <mergeCell ref="B22:E22"/>
    <mergeCell ref="B12:C12"/>
    <mergeCell ref="B13:C13"/>
    <mergeCell ref="B14:C14"/>
    <mergeCell ref="B17:C17"/>
    <mergeCell ref="B18:C18"/>
    <mergeCell ref="B21:E21"/>
    <mergeCell ref="B15:C15"/>
    <mergeCell ref="B16:C16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99CC"/>
  </sheetPr>
  <dimension ref="A3:D89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331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130175.97</v>
      </c>
      <c r="D13" s="1378"/>
    </row>
    <row r="14" spans="1:4" ht="14.25">
      <c r="A14" s="471" t="s">
        <v>538</v>
      </c>
      <c r="B14" s="473"/>
      <c r="C14" s="1375">
        <v>1058746.68</v>
      </c>
      <c r="D14" s="1376"/>
    </row>
    <row r="15" spans="1:4" ht="14.25">
      <c r="A15" s="470" t="s">
        <v>647</v>
      </c>
      <c r="B15" s="474"/>
      <c r="C15" s="1312">
        <v>1046588.37</v>
      </c>
      <c r="D15" s="1313"/>
    </row>
    <row r="16" spans="1:4" ht="15">
      <c r="A16" s="475" t="s">
        <v>348</v>
      </c>
      <c r="B16" s="476"/>
      <c r="C16" s="1377">
        <f>C13+C14-C15</f>
        <v>142334.2799999999</v>
      </c>
      <c r="D16" s="1378"/>
    </row>
    <row r="17" spans="1:4" ht="14.25">
      <c r="A17" s="470" t="s">
        <v>540</v>
      </c>
      <c r="B17" s="474"/>
      <c r="C17" s="1407">
        <v>872165.81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>
        <f>SUM(D25:D30)</f>
        <v>975697.88</v>
      </c>
    </row>
    <row r="25" spans="1:4" ht="26.25">
      <c r="A25" s="546" t="s">
        <v>105</v>
      </c>
      <c r="B25" s="637" t="s">
        <v>652</v>
      </c>
      <c r="C25" s="536"/>
      <c r="D25" s="528">
        <v>191783.68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112362.77</v>
      </c>
    </row>
    <row r="27" spans="1:4" ht="24.75">
      <c r="A27" s="546" t="s">
        <v>14</v>
      </c>
      <c r="B27" s="397" t="s">
        <v>657</v>
      </c>
      <c r="C27" s="506"/>
      <c r="D27" s="507">
        <v>140467.99</v>
      </c>
    </row>
    <row r="28" spans="1:4" ht="15.75" customHeight="1">
      <c r="A28" s="492" t="s">
        <v>395</v>
      </c>
      <c r="B28" s="399"/>
      <c r="C28" s="508"/>
      <c r="D28" s="509">
        <v>19237.09</v>
      </c>
    </row>
    <row r="29" spans="1:4" ht="15.75" thickBot="1">
      <c r="A29" s="390" t="s">
        <v>799</v>
      </c>
      <c r="B29" s="609" t="s">
        <v>661</v>
      </c>
      <c r="C29" s="610"/>
      <c r="D29" s="595">
        <v>23997.41</v>
      </c>
    </row>
    <row r="30" spans="1:4" ht="15.75" thickBot="1">
      <c r="A30" s="805" t="s">
        <v>701</v>
      </c>
      <c r="B30" s="980"/>
      <c r="C30" s="981"/>
      <c r="D30" s="839">
        <v>487848.94</v>
      </c>
    </row>
    <row r="31" spans="1:4" ht="15.75" thickBot="1">
      <c r="A31" s="487" t="s">
        <v>147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515" t="s">
        <v>673</v>
      </c>
      <c r="D32" s="516" t="s">
        <v>793</v>
      </c>
    </row>
    <row r="33" spans="1:4" ht="15">
      <c r="A33" s="383" t="s">
        <v>11</v>
      </c>
      <c r="B33" s="570"/>
      <c r="C33" s="571"/>
      <c r="D33" s="434">
        <v>39035.79</v>
      </c>
    </row>
    <row r="34" spans="1:4" ht="30" thickBot="1">
      <c r="A34" s="390" t="s">
        <v>149</v>
      </c>
      <c r="B34" s="748" t="s">
        <v>478</v>
      </c>
      <c r="C34" s="674">
        <v>2</v>
      </c>
      <c r="D34" s="459">
        <v>1683.48</v>
      </c>
    </row>
    <row r="35" spans="1:4" ht="15.75" thickBot="1">
      <c r="A35" s="806" t="s">
        <v>701</v>
      </c>
      <c r="B35" s="811"/>
      <c r="C35" s="1013"/>
      <c r="D35" s="858">
        <v>40719.27</v>
      </c>
    </row>
    <row r="36" spans="1:4" ht="15">
      <c r="A36" s="808" t="s">
        <v>445</v>
      </c>
      <c r="B36" s="800"/>
      <c r="C36" s="377"/>
      <c r="D36" s="377"/>
    </row>
    <row r="37" spans="1:4" ht="15">
      <c r="A37" s="359" t="s">
        <v>324</v>
      </c>
      <c r="B37" s="365" t="s">
        <v>211</v>
      </c>
      <c r="C37" s="359">
        <v>4</v>
      </c>
      <c r="D37" s="422">
        <v>11416.23</v>
      </c>
    </row>
    <row r="38" spans="1:4" ht="15">
      <c r="A38" s="359" t="s">
        <v>393</v>
      </c>
      <c r="B38" s="677"/>
      <c r="C38" s="359">
        <v>12</v>
      </c>
      <c r="D38" s="424">
        <v>8135.04</v>
      </c>
    </row>
    <row r="39" spans="1:4" ht="15">
      <c r="A39" s="359" t="s">
        <v>239</v>
      </c>
      <c r="B39" s="677" t="s">
        <v>478</v>
      </c>
      <c r="C39" s="363">
        <v>3</v>
      </c>
      <c r="D39" s="425">
        <v>3602.91</v>
      </c>
    </row>
    <row r="40" spans="1:4" ht="15.75" thickBot="1">
      <c r="A40" s="807" t="s">
        <v>972</v>
      </c>
      <c r="B40" s="934"/>
      <c r="C40" s="1014">
        <v>1</v>
      </c>
      <c r="D40" s="425">
        <v>26603</v>
      </c>
    </row>
    <row r="41" spans="1:4" ht="15.75" thickBot="1">
      <c r="A41" s="806" t="s">
        <v>701</v>
      </c>
      <c r="B41" s="825"/>
      <c r="C41" s="1017"/>
      <c r="D41" s="533">
        <v>49757.18</v>
      </c>
    </row>
    <row r="42" spans="1:4" ht="15">
      <c r="A42" s="808" t="s">
        <v>780</v>
      </c>
      <c r="B42" s="935"/>
      <c r="C42" s="385"/>
      <c r="D42" s="810"/>
    </row>
    <row r="43" spans="1:4" ht="15">
      <c r="A43" s="359" t="s">
        <v>235</v>
      </c>
      <c r="B43" s="677" t="s">
        <v>211</v>
      </c>
      <c r="C43" s="363">
        <v>2</v>
      </c>
      <c r="D43" s="425">
        <v>6044.43</v>
      </c>
    </row>
    <row r="44" spans="1:4" ht="15">
      <c r="A44" s="359" t="s">
        <v>174</v>
      </c>
      <c r="B44" s="677" t="s">
        <v>478</v>
      </c>
      <c r="C44" s="363">
        <v>3</v>
      </c>
      <c r="D44" s="425">
        <v>3360.24</v>
      </c>
    </row>
    <row r="45" spans="1:4" ht="15.75" thickBot="1">
      <c r="A45" s="807" t="s">
        <v>727</v>
      </c>
      <c r="B45" s="934"/>
      <c r="C45" s="1014">
        <v>5</v>
      </c>
      <c r="D45" s="425">
        <v>2724.81</v>
      </c>
    </row>
    <row r="46" spans="1:4" ht="15.75" thickBot="1">
      <c r="A46" s="806" t="s">
        <v>701</v>
      </c>
      <c r="B46" s="825"/>
      <c r="C46" s="1017"/>
      <c r="D46" s="533">
        <v>12129.48</v>
      </c>
    </row>
    <row r="47" spans="1:4" ht="15">
      <c r="A47" s="808" t="s">
        <v>424</v>
      </c>
      <c r="B47" s="935"/>
      <c r="C47" s="385"/>
      <c r="D47" s="810"/>
    </row>
    <row r="48" spans="1:4" ht="15">
      <c r="A48" s="359" t="s">
        <v>150</v>
      </c>
      <c r="B48" s="677" t="s">
        <v>151</v>
      </c>
      <c r="C48" s="363">
        <v>0.01</v>
      </c>
      <c r="D48" s="425">
        <v>6307</v>
      </c>
    </row>
    <row r="49" spans="1:4" ht="15">
      <c r="A49" s="359" t="s">
        <v>318</v>
      </c>
      <c r="B49" s="677" t="s">
        <v>211</v>
      </c>
      <c r="C49" s="363">
        <v>1</v>
      </c>
      <c r="D49" s="425">
        <v>279.92</v>
      </c>
    </row>
    <row r="50" spans="1:4" ht="15.75" thickBot="1">
      <c r="A50" s="807" t="s">
        <v>695</v>
      </c>
      <c r="B50" s="934"/>
      <c r="C50" s="1014">
        <v>1</v>
      </c>
      <c r="D50" s="425">
        <v>436.6</v>
      </c>
    </row>
    <row r="51" spans="1:4" ht="15.75" thickBot="1">
      <c r="A51" s="806" t="s">
        <v>701</v>
      </c>
      <c r="B51" s="825"/>
      <c r="C51" s="1017"/>
      <c r="D51" s="533">
        <v>7023.52</v>
      </c>
    </row>
    <row r="52" spans="1:4" ht="15">
      <c r="A52" s="808" t="s">
        <v>425</v>
      </c>
      <c r="B52" s="935"/>
      <c r="C52" s="385"/>
      <c r="D52" s="810"/>
    </row>
    <row r="53" spans="1:4" ht="15">
      <c r="A53" s="359" t="s">
        <v>479</v>
      </c>
      <c r="B53" s="677" t="s">
        <v>52</v>
      </c>
      <c r="C53" s="363">
        <v>4</v>
      </c>
      <c r="D53" s="555">
        <v>1606.46</v>
      </c>
    </row>
    <row r="54" spans="1:4" ht="15">
      <c r="A54" s="359" t="s">
        <v>1020</v>
      </c>
      <c r="B54" s="365" t="s">
        <v>478</v>
      </c>
      <c r="C54" s="363">
        <v>3</v>
      </c>
      <c r="D54" s="555">
        <v>10977.05</v>
      </c>
    </row>
    <row r="55" spans="1:4" ht="15.75" thickBot="1">
      <c r="A55" s="807" t="s">
        <v>882</v>
      </c>
      <c r="B55" s="758" t="s">
        <v>478</v>
      </c>
      <c r="C55" s="807">
        <v>3</v>
      </c>
      <c r="D55" s="424">
        <v>6630.83</v>
      </c>
    </row>
    <row r="56" spans="1:4" ht="15.75" thickBot="1">
      <c r="A56" s="806" t="s">
        <v>701</v>
      </c>
      <c r="B56" s="811"/>
      <c r="C56" s="1023"/>
      <c r="D56" s="932">
        <v>19214.34</v>
      </c>
    </row>
    <row r="57" spans="1:4" ht="15">
      <c r="A57" s="808" t="s">
        <v>386</v>
      </c>
      <c r="B57" s="570"/>
      <c r="C57" s="377"/>
      <c r="D57" s="598"/>
    </row>
    <row r="58" spans="1:4" ht="15">
      <c r="A58" s="377" t="s">
        <v>886</v>
      </c>
      <c r="B58" s="570" t="s">
        <v>478</v>
      </c>
      <c r="C58" s="377">
        <v>9</v>
      </c>
      <c r="D58" s="532">
        <v>6373.61</v>
      </c>
    </row>
    <row r="59" spans="1:4" ht="15">
      <c r="A59" s="377" t="s">
        <v>90</v>
      </c>
      <c r="B59" s="570" t="s">
        <v>478</v>
      </c>
      <c r="C59" s="377">
        <v>1</v>
      </c>
      <c r="D59" s="532">
        <v>1532.43</v>
      </c>
    </row>
    <row r="60" spans="1:4" ht="15">
      <c r="A60" s="377" t="s">
        <v>415</v>
      </c>
      <c r="B60" s="570" t="s">
        <v>372</v>
      </c>
      <c r="C60" s="377">
        <v>3</v>
      </c>
      <c r="D60" s="532">
        <v>1184.22</v>
      </c>
    </row>
    <row r="61" spans="1:4" ht="15">
      <c r="A61" s="377" t="s">
        <v>692</v>
      </c>
      <c r="B61" s="570"/>
      <c r="C61" s="377">
        <v>12</v>
      </c>
      <c r="D61" s="532">
        <v>15934.05</v>
      </c>
    </row>
    <row r="62" spans="1:4" ht="15.75" thickBot="1">
      <c r="A62" s="799" t="s">
        <v>54</v>
      </c>
      <c r="B62" s="834" t="s">
        <v>885</v>
      </c>
      <c r="C62" s="799">
        <v>1</v>
      </c>
      <c r="D62" s="541">
        <v>2337.28</v>
      </c>
    </row>
    <row r="63" spans="1:4" ht="15.75" thickBot="1">
      <c r="A63" s="806" t="s">
        <v>701</v>
      </c>
      <c r="B63" s="811"/>
      <c r="C63" s="1013"/>
      <c r="D63" s="858">
        <v>27361.59</v>
      </c>
    </row>
    <row r="64" spans="1:4" ht="15.75" thickBot="1">
      <c r="A64" s="799"/>
      <c r="B64" s="834"/>
      <c r="C64" s="799"/>
      <c r="D64" s="835"/>
    </row>
    <row r="65" spans="1:4" ht="15.75" thickBot="1">
      <c r="A65" s="806" t="s">
        <v>146</v>
      </c>
      <c r="B65" s="811"/>
      <c r="C65" s="1013"/>
      <c r="D65" s="533">
        <v>156205.38</v>
      </c>
    </row>
    <row r="66" spans="1:4" ht="15">
      <c r="A66" s="377"/>
      <c r="B66" s="570"/>
      <c r="C66" s="383"/>
      <c r="D66" s="836"/>
    </row>
    <row r="67" spans="1:4" ht="15">
      <c r="A67" s="944" t="s">
        <v>743</v>
      </c>
      <c r="B67" s="365"/>
      <c r="C67" s="369"/>
      <c r="D67" s="869">
        <v>41607.16</v>
      </c>
    </row>
    <row r="68" spans="1:4" ht="14.25">
      <c r="A68" s="465" t="s">
        <v>904</v>
      </c>
      <c r="B68" s="757"/>
      <c r="C68" s="369"/>
      <c r="D68" s="428">
        <v>25427.7</v>
      </c>
    </row>
    <row r="69" spans="1:4" ht="15">
      <c r="A69" s="955" t="s">
        <v>735</v>
      </c>
      <c r="B69" s="677"/>
      <c r="C69" s="369"/>
      <c r="D69" s="869">
        <v>161076.63</v>
      </c>
    </row>
    <row r="70" spans="1:4" ht="15.75" thickBot="1">
      <c r="A70" s="526"/>
      <c r="B70" s="758"/>
      <c r="C70" s="882"/>
      <c r="D70" s="541"/>
    </row>
    <row r="71" spans="1:4" ht="15.75" thickBot="1">
      <c r="A71" s="806" t="s">
        <v>918</v>
      </c>
      <c r="B71" s="825"/>
      <c r="C71" s="1023"/>
      <c r="D71" s="858">
        <v>872165.81</v>
      </c>
    </row>
    <row r="74" spans="1:4" ht="15">
      <c r="A74" s="370"/>
      <c r="B74" s="370"/>
      <c r="C74" s="370"/>
      <c r="D74" s="371"/>
    </row>
    <row r="75" spans="1:4" ht="15">
      <c r="A75" s="370"/>
      <c r="B75" s="370"/>
      <c r="C75" s="370"/>
      <c r="D75" s="371"/>
    </row>
    <row r="76" spans="1:4" ht="14.25">
      <c r="A76" s="764"/>
      <c r="B76" s="358"/>
      <c r="C76" s="359"/>
      <c r="D76" s="1262"/>
    </row>
    <row r="77" spans="1:4" ht="15">
      <c r="A77" s="1251" t="s">
        <v>568</v>
      </c>
      <c r="B77" s="1257"/>
      <c r="C77" s="467"/>
      <c r="D77" s="467">
        <v>0</v>
      </c>
    </row>
    <row r="78" spans="1:4" ht="15">
      <c r="A78" s="1332" t="s">
        <v>569</v>
      </c>
      <c r="B78" s="1332"/>
      <c r="C78" s="628"/>
      <c r="D78" s="608">
        <v>1046588.37</v>
      </c>
    </row>
    <row r="79" spans="1:4" ht="15">
      <c r="A79" s="1332" t="s">
        <v>570</v>
      </c>
      <c r="B79" s="1332"/>
      <c r="C79" s="607"/>
      <c r="D79" s="608">
        <v>872165.81</v>
      </c>
    </row>
    <row r="80" spans="1:4" ht="15">
      <c r="A80" s="1333" t="s">
        <v>571</v>
      </c>
      <c r="B80" s="1333"/>
      <c r="C80" s="629"/>
      <c r="D80" s="629">
        <v>-174422.56</v>
      </c>
    </row>
    <row r="81" spans="1:4" ht="15">
      <c r="A81" s="1332" t="s">
        <v>179</v>
      </c>
      <c r="B81" s="1332"/>
      <c r="C81" s="1258"/>
      <c r="D81" s="630">
        <v>-174422.56</v>
      </c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/>
      <c r="B84" s="538"/>
      <c r="C84" s="1259"/>
      <c r="D84" s="1260"/>
    </row>
    <row r="85" spans="1:4" ht="15">
      <c r="A85" s="538" t="s">
        <v>180</v>
      </c>
      <c r="B85" s="538"/>
      <c r="C85" s="1259" t="s">
        <v>573</v>
      </c>
      <c r="D85" s="1260"/>
    </row>
    <row r="86" spans="1:4" ht="15">
      <c r="A86" s="538"/>
      <c r="B86" s="538"/>
      <c r="C86" s="1259"/>
      <c r="D86" s="1260"/>
    </row>
    <row r="87" ht="12.75">
      <c r="A87" s="735" t="s">
        <v>357</v>
      </c>
    </row>
    <row r="88" ht="12.75">
      <c r="A88" s="735" t="s">
        <v>906</v>
      </c>
    </row>
    <row r="89" ht="12.75">
      <c r="A89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78:B78"/>
    <mergeCell ref="A79:B79"/>
    <mergeCell ref="A80:B80"/>
    <mergeCell ref="A81:B81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5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0.5" customHeight="1">
      <c r="A6" s="26"/>
      <c r="B6" s="26"/>
      <c r="C6"/>
    </row>
    <row r="7" spans="1:4" ht="15">
      <c r="A7" s="1343" t="s">
        <v>940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629.01+87815.69</f>
        <v>88444.7</v>
      </c>
      <c r="D11" s="136">
        <v>17030.54</v>
      </c>
    </row>
    <row r="12" spans="1:4" ht="15.75" thickBot="1">
      <c r="A12" s="1341" t="s">
        <v>646</v>
      </c>
      <c r="B12" s="1342"/>
      <c r="C12" s="137">
        <f>4841.6+897434.4</f>
        <v>902276</v>
      </c>
      <c r="D12" s="136">
        <v>49683.93</v>
      </c>
    </row>
    <row r="13" spans="1:4" ht="15.75" thickBot="1">
      <c r="A13" s="1341" t="s">
        <v>647</v>
      </c>
      <c r="B13" s="1342"/>
      <c r="C13" s="135">
        <f>5303.53+862911.49</f>
        <v>868215.02</v>
      </c>
      <c r="D13" s="136">
        <v>64515.37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41853.72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122505.67999999993</v>
      </c>
      <c r="D17" s="136">
        <f>D11+D12-D13</f>
        <v>2199.0999999999985</v>
      </c>
    </row>
    <row r="18" spans="1:4" ht="15.75" thickBot="1">
      <c r="A18" s="1341" t="s">
        <v>806</v>
      </c>
      <c r="B18" s="1342"/>
      <c r="C18" s="170">
        <f>D24+D48</f>
        <v>846801.6000000001</v>
      </c>
      <c r="D18" s="138"/>
    </row>
    <row r="19" spans="2:3" ht="8.25" customHeight="1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5.25" customHeight="1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</f>
        <v>542422.81</v>
      </c>
    </row>
    <row r="25" spans="1:4" ht="26.25" thickBot="1">
      <c r="A25" s="166" t="s">
        <v>662</v>
      </c>
      <c r="B25" s="64" t="s">
        <v>652</v>
      </c>
      <c r="C25" s="45"/>
      <c r="D25" s="171">
        <v>175131.84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150624.97</v>
      </c>
    </row>
    <row r="27" spans="1:4" ht="25.5" thickBot="1">
      <c r="A27" s="133" t="s">
        <v>658</v>
      </c>
      <c r="B27" s="168" t="s">
        <v>657</v>
      </c>
      <c r="C27" s="145"/>
      <c r="D27" s="171">
        <v>173116.89</v>
      </c>
    </row>
    <row r="28" spans="1:4" ht="15.75" thickBot="1">
      <c r="A28" s="133" t="s">
        <v>879</v>
      </c>
      <c r="B28" s="181" t="s">
        <v>661</v>
      </c>
      <c r="C28" s="182"/>
      <c r="D28" s="183">
        <f>3710.79+8224.17</f>
        <v>11934.96</v>
      </c>
    </row>
    <row r="29" spans="1:4" ht="15.75" thickBot="1">
      <c r="A29" s="147" t="s">
        <v>685</v>
      </c>
      <c r="B29" s="184" t="s">
        <v>817</v>
      </c>
      <c r="C29" s="45" t="s">
        <v>801</v>
      </c>
      <c r="D29" s="186">
        <v>31614.15</v>
      </c>
    </row>
    <row r="30" spans="1:4" ht="15.75" thickBot="1">
      <c r="A30" s="148" t="s">
        <v>760</v>
      </c>
      <c r="B30" s="149"/>
      <c r="C30" s="139"/>
      <c r="D30" s="175">
        <f>D32+D33+D35+D37+D38+D39+D40+D41+D43+D44+D45+D46</f>
        <v>295420.25</v>
      </c>
    </row>
    <row r="31" spans="1:4" ht="24.75" thickBot="1">
      <c r="A31" s="150" t="s">
        <v>672</v>
      </c>
      <c r="B31" s="15" t="s">
        <v>920</v>
      </c>
      <c r="C31" s="49" t="s">
        <v>673</v>
      </c>
      <c r="D31" s="176" t="s">
        <v>793</v>
      </c>
    </row>
    <row r="32" spans="1:4" ht="14.25">
      <c r="A32" s="156" t="s">
        <v>816</v>
      </c>
      <c r="B32" s="74" t="s">
        <v>661</v>
      </c>
      <c r="C32" s="153"/>
      <c r="D32" s="177">
        <v>5551.15</v>
      </c>
    </row>
    <row r="33" spans="1:4" ht="14.25">
      <c r="A33" s="188" t="s">
        <v>928</v>
      </c>
      <c r="B33" s="74" t="s">
        <v>661</v>
      </c>
      <c r="C33" s="153"/>
      <c r="D33" s="177">
        <f>22068.1+2554.55+29021.76</f>
        <v>53644.409999999996</v>
      </c>
    </row>
    <row r="34" spans="1:4" ht="14.25">
      <c r="A34" s="188" t="s">
        <v>989</v>
      </c>
      <c r="B34" s="74" t="s">
        <v>661</v>
      </c>
      <c r="C34" s="153"/>
      <c r="D34" s="177">
        <v>8958.54</v>
      </c>
    </row>
    <row r="35" spans="1:4" ht="14.25">
      <c r="A35" s="188" t="s">
        <v>930</v>
      </c>
      <c r="B35" s="74" t="s">
        <v>661</v>
      </c>
      <c r="C35" s="153"/>
      <c r="D35" s="177">
        <v>817.56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v>6470.3</v>
      </c>
    </row>
    <row r="38" spans="1:4" ht="14.25">
      <c r="A38" s="132" t="s">
        <v>883</v>
      </c>
      <c r="B38" s="74" t="s">
        <v>661</v>
      </c>
      <c r="C38" s="153"/>
      <c r="D38" s="179">
        <v>38695.86</v>
      </c>
    </row>
    <row r="39" spans="1:4" ht="14.25">
      <c r="A39" s="157" t="s">
        <v>880</v>
      </c>
      <c r="B39" s="74" t="s">
        <v>661</v>
      </c>
      <c r="C39" s="153"/>
      <c r="D39" s="179">
        <v>4978.35</v>
      </c>
    </row>
    <row r="40" spans="1:4" ht="14.25">
      <c r="A40" s="157" t="s">
        <v>925</v>
      </c>
      <c r="B40" s="74" t="s">
        <v>661</v>
      </c>
      <c r="C40" s="153"/>
      <c r="D40" s="180">
        <v>140860.52</v>
      </c>
    </row>
    <row r="41" spans="1:4" ht="14.25">
      <c r="A41" s="157" t="s">
        <v>882</v>
      </c>
      <c r="B41" s="74" t="s">
        <v>661</v>
      </c>
      <c r="C41" s="153"/>
      <c r="D41" s="180">
        <v>3994.41</v>
      </c>
    </row>
    <row r="42" spans="1:4" ht="15">
      <c r="A42" s="151" t="s">
        <v>682</v>
      </c>
      <c r="B42" s="118"/>
      <c r="C42" s="153"/>
      <c r="D42" s="191"/>
    </row>
    <row r="43" spans="1:4" ht="14.25">
      <c r="A43" s="159" t="s">
        <v>884</v>
      </c>
      <c r="B43" s="74" t="s">
        <v>661</v>
      </c>
      <c r="C43" s="153"/>
      <c r="D43" s="192">
        <v>29662.55</v>
      </c>
    </row>
    <row r="44" spans="1:4" ht="14.25">
      <c r="A44" s="159" t="s">
        <v>886</v>
      </c>
      <c r="B44" s="74" t="s">
        <v>661</v>
      </c>
      <c r="C44" s="153"/>
      <c r="D44" s="192">
        <v>849.1</v>
      </c>
    </row>
    <row r="45" spans="1:4" ht="14.25">
      <c r="A45" s="159" t="s">
        <v>888</v>
      </c>
      <c r="B45" s="74" t="s">
        <v>661</v>
      </c>
      <c r="C45" s="153"/>
      <c r="D45" s="192">
        <f>1408.51+412.38+3276.73+351.78+2344.81</f>
        <v>7794.209999999999</v>
      </c>
    </row>
    <row r="46" spans="1:4" ht="14.25">
      <c r="A46" s="159" t="s">
        <v>929</v>
      </c>
      <c r="B46" s="74" t="s">
        <v>661</v>
      </c>
      <c r="C46" s="153"/>
      <c r="D46" s="192">
        <v>2101.83</v>
      </c>
    </row>
    <row r="47" spans="1:4" ht="14.25" hidden="1">
      <c r="A47" s="157"/>
      <c r="B47" s="153"/>
      <c r="C47" s="153"/>
      <c r="D47" s="160"/>
    </row>
    <row r="48" spans="1:4" ht="15" hidden="1">
      <c r="A48" s="162" t="s">
        <v>821</v>
      </c>
      <c r="B48" s="163"/>
      <c r="C48" s="153"/>
      <c r="D48" s="165">
        <f>SUM(D32:D47)</f>
        <v>304378.79</v>
      </c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4" ht="15">
      <c r="A52" s="71"/>
      <c r="B52" s="11"/>
      <c r="C52" s="11"/>
      <c r="D52" s="11"/>
    </row>
    <row r="53" spans="1:3" ht="15.75">
      <c r="A53" s="187" t="s">
        <v>921</v>
      </c>
      <c r="B53" s="187"/>
      <c r="C53" s="187" t="s">
        <v>889</v>
      </c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60" ht="15.75">
      <c r="A60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35433070866141736" bottom="0.1968503937007874" header="0.31496062992125984" footer="0.31496062992125984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0">
      <selection activeCell="A14" sqref="A14:IV14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2.281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868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75169.65+478.09</f>
        <v>75647.73999999999</v>
      </c>
      <c r="E11" s="25">
        <v>10930.68</v>
      </c>
    </row>
    <row r="12" spans="2:5" ht="16.5" thickBot="1">
      <c r="B12" s="1398" t="s">
        <v>646</v>
      </c>
      <c r="C12" s="1399"/>
      <c r="D12" s="25">
        <f>638336.2+3183.68</f>
        <v>641519.88</v>
      </c>
      <c r="E12" s="25">
        <v>27556.37</v>
      </c>
    </row>
    <row r="13" spans="2:5" ht="16.5" thickBot="1">
      <c r="B13" s="1398" t="s">
        <v>647</v>
      </c>
      <c r="C13" s="1399"/>
      <c r="D13" s="25">
        <f>631372.03+3607.63</f>
        <v>634979.66</v>
      </c>
      <c r="E13" s="25">
        <v>37803.4</v>
      </c>
    </row>
    <row r="14" spans="2:5" ht="16.5" hidden="1" thickBot="1">
      <c r="B14" s="1398" t="s">
        <v>666</v>
      </c>
      <c r="C14" s="1399"/>
      <c r="D14" s="25"/>
      <c r="E14" s="25"/>
    </row>
    <row r="15" spans="2:5" ht="16.5" thickBot="1">
      <c r="B15" s="1398" t="s">
        <v>648</v>
      </c>
      <c r="C15" s="1399"/>
      <c r="D15" s="25">
        <f>D11+D12-D13</f>
        <v>82187.95999999996</v>
      </c>
      <c r="E15" s="25">
        <f>E11+E12-E13</f>
        <v>683.6500000000015</v>
      </c>
    </row>
    <row r="16" spans="2:5" ht="16.5" thickBot="1">
      <c r="B16" s="1398" t="s">
        <v>832</v>
      </c>
      <c r="C16" s="1399"/>
      <c r="D16" s="75">
        <f>E23+E45</f>
        <v>558158.88</v>
      </c>
      <c r="E16" s="73">
        <v>18898.4</v>
      </c>
    </row>
    <row r="17" spans="3:4" ht="12.75">
      <c r="C17" s="83"/>
      <c r="D17" s="81"/>
    </row>
    <row r="18" spans="3:4" ht="12.75">
      <c r="C18" s="83"/>
      <c r="D18" s="81"/>
    </row>
    <row r="19" spans="2:5" ht="18.75">
      <c r="B19" s="1397" t="s">
        <v>650</v>
      </c>
      <c r="C19" s="1397"/>
      <c r="D19" s="1397"/>
      <c r="E19" s="1397"/>
    </row>
    <row r="20" spans="2:5" ht="18.75">
      <c r="B20" s="1397" t="s">
        <v>1009</v>
      </c>
      <c r="C20" s="1397"/>
      <c r="D20" s="1397"/>
      <c r="E20" s="1397"/>
    </row>
    <row r="21" ht="13.5" thickBot="1">
      <c r="D21" s="11"/>
    </row>
    <row r="22" spans="1:5" ht="48" thickBot="1">
      <c r="A22" s="9"/>
      <c r="B22" s="34" t="s">
        <v>651</v>
      </c>
      <c r="C22" s="60" t="s">
        <v>667</v>
      </c>
      <c r="D22" s="59" t="s">
        <v>673</v>
      </c>
      <c r="E22" s="63" t="s">
        <v>793</v>
      </c>
    </row>
    <row r="23" spans="1:5" ht="20.25" thickBot="1">
      <c r="A23" s="9"/>
      <c r="B23" s="35" t="s">
        <v>761</v>
      </c>
      <c r="C23" s="61"/>
      <c r="D23" s="10"/>
      <c r="E23" s="62">
        <f>E24+E30+E32+E33+E43</f>
        <v>407417.25</v>
      </c>
    </row>
    <row r="24" spans="1:5" ht="32.25" thickBot="1">
      <c r="A24" s="11"/>
      <c r="B24" s="67" t="s">
        <v>662</v>
      </c>
      <c r="C24" s="64" t="s">
        <v>652</v>
      </c>
      <c r="D24" s="43"/>
      <c r="E24" s="230">
        <v>196788.86</v>
      </c>
    </row>
    <row r="25" spans="2:5" ht="32.25" hidden="1" thickBot="1">
      <c r="B25" s="67" t="s">
        <v>686</v>
      </c>
      <c r="C25" s="65" t="s">
        <v>661</v>
      </c>
      <c r="D25" s="44"/>
      <c r="E25" s="174"/>
    </row>
    <row r="26" spans="2:5" ht="16.5" hidden="1" thickBot="1">
      <c r="B26" s="67" t="s">
        <v>765</v>
      </c>
      <c r="C26" s="65" t="s">
        <v>661</v>
      </c>
      <c r="D26" s="44"/>
      <c r="E26" s="174"/>
    </row>
    <row r="27" spans="2:5" ht="39.75" hidden="1" thickBot="1">
      <c r="B27" s="67" t="s">
        <v>655</v>
      </c>
      <c r="C27" s="64" t="s">
        <v>653</v>
      </c>
      <c r="D27" s="45"/>
      <c r="E27" s="237"/>
    </row>
    <row r="28" spans="2:5" ht="48" hidden="1" thickBot="1">
      <c r="B28" s="67" t="s">
        <v>796</v>
      </c>
      <c r="C28" s="65" t="s">
        <v>661</v>
      </c>
      <c r="D28" s="44"/>
      <c r="E28" s="174"/>
    </row>
    <row r="29" spans="2:5" ht="48" hidden="1" thickBot="1">
      <c r="B29" s="67" t="s">
        <v>797</v>
      </c>
      <c r="C29" s="65" t="s">
        <v>661</v>
      </c>
      <c r="D29" s="44"/>
      <c r="E29" s="174"/>
    </row>
    <row r="30" spans="2:5" ht="16.5" thickBot="1">
      <c r="B30" s="67" t="s">
        <v>654</v>
      </c>
      <c r="C30" s="48" t="s">
        <v>656</v>
      </c>
      <c r="D30" s="43" t="s">
        <v>801</v>
      </c>
      <c r="E30" s="230">
        <v>96223.53</v>
      </c>
    </row>
    <row r="31" spans="2:5" ht="32.25" hidden="1" thickBot="1">
      <c r="B31" s="67" t="s">
        <v>798</v>
      </c>
      <c r="C31" s="65" t="s">
        <v>661</v>
      </c>
      <c r="D31" s="47" t="s">
        <v>822</v>
      </c>
      <c r="E31" s="174"/>
    </row>
    <row r="32" spans="2:5" ht="27" thickBot="1">
      <c r="B32" s="67" t="s">
        <v>658</v>
      </c>
      <c r="C32" s="64" t="s">
        <v>657</v>
      </c>
      <c r="D32" s="43"/>
      <c r="E32" s="230">
        <v>90487.27</v>
      </c>
    </row>
    <row r="33" spans="2:5" ht="16.5" thickBot="1">
      <c r="B33" s="67" t="s">
        <v>879</v>
      </c>
      <c r="C33" s="64" t="s">
        <v>661</v>
      </c>
      <c r="D33" s="43"/>
      <c r="E33" s="230">
        <v>4429.24</v>
      </c>
    </row>
    <row r="34" spans="2:5" ht="32.25" hidden="1" thickBot="1">
      <c r="B34" s="68" t="s">
        <v>758</v>
      </c>
      <c r="C34" s="64" t="s">
        <v>665</v>
      </c>
      <c r="D34" s="43"/>
      <c r="E34" s="238"/>
    </row>
    <row r="35" spans="2:5" ht="32.25" hidden="1" thickBot="1">
      <c r="B35" s="67" t="s">
        <v>664</v>
      </c>
      <c r="C35" s="65" t="s">
        <v>661</v>
      </c>
      <c r="D35" s="44"/>
      <c r="E35" s="174"/>
    </row>
    <row r="36" spans="2:5" ht="32.25" hidden="1" thickBot="1">
      <c r="B36" s="67" t="s">
        <v>671</v>
      </c>
      <c r="C36" s="65" t="s">
        <v>661</v>
      </c>
      <c r="D36" s="72"/>
      <c r="E36" s="239"/>
    </row>
    <row r="37" spans="2:5" ht="94.5" hidden="1" thickBot="1">
      <c r="B37" s="36" t="s">
        <v>790</v>
      </c>
      <c r="C37" s="65" t="s">
        <v>661</v>
      </c>
      <c r="D37" s="44"/>
      <c r="E37" s="174"/>
    </row>
    <row r="38" spans="2:5" ht="63.75" hidden="1" thickBot="1">
      <c r="B38" s="67" t="s">
        <v>767</v>
      </c>
      <c r="C38" s="64" t="s">
        <v>766</v>
      </c>
      <c r="D38" s="43"/>
      <c r="E38" s="238"/>
    </row>
    <row r="39" spans="2:5" ht="32.25" hidden="1" thickBot="1">
      <c r="B39" s="67" t="s">
        <v>668</v>
      </c>
      <c r="C39" s="65" t="s">
        <v>661</v>
      </c>
      <c r="D39" s="44"/>
      <c r="E39" s="174"/>
    </row>
    <row r="40" spans="2:5" ht="16.5" hidden="1" thickBot="1">
      <c r="B40" s="67" t="s">
        <v>799</v>
      </c>
      <c r="C40" s="65" t="s">
        <v>661</v>
      </c>
      <c r="D40" s="44"/>
      <c r="E40" s="174"/>
    </row>
    <row r="41" spans="2:5" ht="52.5" hidden="1" thickBot="1">
      <c r="B41" s="67" t="s">
        <v>670</v>
      </c>
      <c r="C41" s="64" t="s">
        <v>684</v>
      </c>
      <c r="D41" s="46"/>
      <c r="E41" s="240"/>
    </row>
    <row r="42" spans="2:5" ht="63.75" hidden="1" thickBot="1">
      <c r="B42" s="68" t="s">
        <v>800</v>
      </c>
      <c r="C42" s="65" t="s">
        <v>661</v>
      </c>
      <c r="D42" s="44"/>
      <c r="E42" s="251"/>
    </row>
    <row r="43" spans="2:5" ht="16.5" thickBot="1">
      <c r="B43" s="69" t="s">
        <v>685</v>
      </c>
      <c r="C43" s="212" t="s">
        <v>817</v>
      </c>
      <c r="D43" s="43" t="s">
        <v>801</v>
      </c>
      <c r="E43" s="231">
        <v>19488.35</v>
      </c>
    </row>
    <row r="44" spans="2:5" ht="32.25" hidden="1" thickBot="1">
      <c r="B44" s="70" t="s">
        <v>802</v>
      </c>
      <c r="C44" s="47"/>
      <c r="D44" s="44"/>
      <c r="E44" s="252"/>
    </row>
    <row r="45" spans="2:5" ht="20.25" thickBot="1">
      <c r="B45" s="14" t="s">
        <v>760</v>
      </c>
      <c r="C45" s="17"/>
      <c r="E45" s="261">
        <f>E56</f>
        <v>150741.63</v>
      </c>
    </row>
    <row r="46" spans="2:5" ht="24.75" thickBot="1">
      <c r="B46" s="150" t="s">
        <v>672</v>
      </c>
      <c r="C46" s="15" t="s">
        <v>920</v>
      </c>
      <c r="D46" s="49" t="s">
        <v>673</v>
      </c>
      <c r="E46" s="176" t="s">
        <v>793</v>
      </c>
    </row>
    <row r="47" spans="2:5" ht="15.75">
      <c r="B47" s="188" t="s">
        <v>930</v>
      </c>
      <c r="C47" s="255" t="s">
        <v>661</v>
      </c>
      <c r="D47" s="154"/>
      <c r="E47" s="266">
        <f>1846.29+280.22</f>
        <v>2126.51</v>
      </c>
    </row>
    <row r="48" spans="2:5" ht="14.25">
      <c r="B48" s="151" t="s">
        <v>676</v>
      </c>
      <c r="C48" s="116"/>
      <c r="D48" s="153"/>
      <c r="E48" s="177"/>
    </row>
    <row r="49" spans="2:5" ht="14.25">
      <c r="B49" s="132" t="s">
        <v>883</v>
      </c>
      <c r="C49" s="74" t="s">
        <v>661</v>
      </c>
      <c r="D49" s="153"/>
      <c r="E49" s="179">
        <f>77881.35+6488.79</f>
        <v>84370.14</v>
      </c>
    </row>
    <row r="50" spans="2:5" ht="14.25">
      <c r="B50" s="157" t="s">
        <v>880</v>
      </c>
      <c r="C50" s="74" t="s">
        <v>661</v>
      </c>
      <c r="D50" s="152"/>
      <c r="E50" s="177">
        <v>1982.65</v>
      </c>
    </row>
    <row r="51" spans="2:5" ht="14.25">
      <c r="B51" s="157" t="s">
        <v>925</v>
      </c>
      <c r="C51" s="74" t="s">
        <v>661</v>
      </c>
      <c r="D51" s="152"/>
      <c r="E51" s="177">
        <f>32768.13</f>
        <v>32768.13</v>
      </c>
    </row>
    <row r="52" spans="2:5" ht="15">
      <c r="B52" s="151" t="s">
        <v>1025</v>
      </c>
      <c r="C52" s="118"/>
      <c r="D52" s="152"/>
      <c r="E52" s="220"/>
    </row>
    <row r="53" spans="2:5" ht="14.25">
      <c r="B53" s="159" t="s">
        <v>998</v>
      </c>
      <c r="C53" s="74" t="s">
        <v>661</v>
      </c>
      <c r="D53" s="152"/>
      <c r="E53" s="177">
        <v>28198.54</v>
      </c>
    </row>
    <row r="54" spans="2:5" ht="15">
      <c r="B54" s="159" t="s">
        <v>929</v>
      </c>
      <c r="C54" s="74" t="s">
        <v>661</v>
      </c>
      <c r="D54" s="13"/>
      <c r="E54" s="268">
        <v>1295.66</v>
      </c>
    </row>
    <row r="55" spans="2:5" ht="12.75" hidden="1">
      <c r="B55" s="13"/>
      <c r="C55" s="13"/>
      <c r="D55" s="13"/>
      <c r="E55" s="85"/>
    </row>
    <row r="56" spans="2:5" ht="12.75" hidden="1">
      <c r="B56" s="117" t="s">
        <v>1014</v>
      </c>
      <c r="C56" s="13"/>
      <c r="D56" s="13"/>
      <c r="E56" s="256">
        <f>E49+E50+E53+E54+E51+E47</f>
        <v>150741.63</v>
      </c>
    </row>
    <row r="57" spans="2:5" ht="12.75">
      <c r="B57" s="103"/>
      <c r="C57" s="11"/>
      <c r="D57" s="11"/>
      <c r="E57" s="207"/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1"/>
      <c r="C61" s="11"/>
      <c r="D61" s="11"/>
      <c r="E61" s="207"/>
    </row>
    <row r="62" spans="2:5" ht="15.75">
      <c r="B62" s="6" t="s">
        <v>830</v>
      </c>
      <c r="C62" s="6" t="s">
        <v>889</v>
      </c>
      <c r="E62" s="254"/>
    </row>
    <row r="65" ht="15.75">
      <c r="B65" s="7"/>
    </row>
  </sheetData>
  <sheetProtection/>
  <mergeCells count="13">
    <mergeCell ref="B7:C7"/>
    <mergeCell ref="B9:C10"/>
    <mergeCell ref="B2:C2"/>
    <mergeCell ref="B3:C3"/>
    <mergeCell ref="B4:C4"/>
    <mergeCell ref="B5:C5"/>
    <mergeCell ref="B20:E20"/>
    <mergeCell ref="B12:C12"/>
    <mergeCell ref="B13:C13"/>
    <mergeCell ref="B14:C14"/>
    <mergeCell ref="B15:C15"/>
    <mergeCell ref="B16:C16"/>
    <mergeCell ref="B19:E19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99CC"/>
  </sheetPr>
  <dimension ref="A3:H85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332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148915.02</v>
      </c>
      <c r="D13" s="1309"/>
    </row>
    <row r="14" spans="1:4" ht="14.25">
      <c r="A14" s="471" t="s">
        <v>538</v>
      </c>
      <c r="B14" s="473"/>
      <c r="C14" s="1375">
        <v>677309.64</v>
      </c>
      <c r="D14" s="1376"/>
    </row>
    <row r="15" spans="1:4" ht="14.25">
      <c r="A15" s="470" t="s">
        <v>647</v>
      </c>
      <c r="B15" s="474"/>
      <c r="C15" s="1312">
        <v>650294.18</v>
      </c>
      <c r="D15" s="1313"/>
    </row>
    <row r="16" spans="1:4" ht="15">
      <c r="A16" s="475" t="s">
        <v>348</v>
      </c>
      <c r="B16" s="476"/>
      <c r="C16" s="1377">
        <f>C13+C14-C15</f>
        <v>175930.47999999998</v>
      </c>
      <c r="D16" s="1378"/>
    </row>
    <row r="17" spans="1:4" ht="14.25">
      <c r="A17" s="470" t="s">
        <v>540</v>
      </c>
      <c r="B17" s="474"/>
      <c r="C17" s="1407">
        <v>526992.31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118015.05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69142.98</v>
      </c>
    </row>
    <row r="27" spans="1:4" ht="24.75">
      <c r="A27" s="546" t="s">
        <v>14</v>
      </c>
      <c r="B27" s="397" t="s">
        <v>657</v>
      </c>
      <c r="C27" s="506"/>
      <c r="D27" s="507">
        <v>86437.69</v>
      </c>
    </row>
    <row r="28" spans="1:4" ht="15">
      <c r="A28" s="492" t="s">
        <v>931</v>
      </c>
      <c r="B28" s="399" t="s">
        <v>661</v>
      </c>
      <c r="C28" s="508"/>
      <c r="D28" s="509">
        <v>453</v>
      </c>
    </row>
    <row r="29" spans="1:4" ht="15.75" thickBot="1">
      <c r="A29" s="492" t="s">
        <v>152</v>
      </c>
      <c r="B29" s="399"/>
      <c r="C29" s="508"/>
      <c r="D29" s="509">
        <v>7979.45</v>
      </c>
    </row>
    <row r="30" spans="1:8" ht="15.75" thickBot="1">
      <c r="A30" s="413" t="s">
        <v>799</v>
      </c>
      <c r="B30" s="609"/>
      <c r="C30" s="508"/>
      <c r="D30" s="509">
        <v>18571.5</v>
      </c>
      <c r="H30" s="1239"/>
    </row>
    <row r="31" spans="1:4" ht="15.75" thickBot="1">
      <c r="A31" s="805" t="s">
        <v>701</v>
      </c>
      <c r="B31" s="980"/>
      <c r="C31" s="981"/>
      <c r="D31" s="839">
        <v>300599.67</v>
      </c>
    </row>
    <row r="32" spans="1:4" ht="15.75" thickBot="1">
      <c r="A32" s="487" t="s">
        <v>607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69" t="s">
        <v>11</v>
      </c>
      <c r="B34" s="365"/>
      <c r="C34" s="663"/>
      <c r="D34" s="578">
        <v>45770.73</v>
      </c>
    </row>
    <row r="35" spans="1:4" ht="15.75" thickBot="1">
      <c r="A35" s="390" t="s">
        <v>60</v>
      </c>
      <c r="B35" s="748" t="s">
        <v>817</v>
      </c>
      <c r="C35" s="674">
        <v>1</v>
      </c>
      <c r="D35" s="459">
        <v>3736.36</v>
      </c>
    </row>
    <row r="36" spans="1:4" ht="15.75" thickBot="1">
      <c r="A36" s="806" t="s">
        <v>701</v>
      </c>
      <c r="B36" s="811"/>
      <c r="C36" s="1013"/>
      <c r="D36" s="858">
        <v>49507.09</v>
      </c>
    </row>
    <row r="37" spans="1:4" ht="15">
      <c r="A37" s="808" t="s">
        <v>445</v>
      </c>
      <c r="B37" s="800"/>
      <c r="C37" s="377"/>
      <c r="D37" s="377"/>
    </row>
    <row r="38" spans="1:4" ht="15">
      <c r="A38" s="359" t="s">
        <v>327</v>
      </c>
      <c r="B38" s="365" t="s">
        <v>111</v>
      </c>
      <c r="C38" s="359">
        <v>1</v>
      </c>
      <c r="D38" s="422">
        <v>929.95</v>
      </c>
    </row>
    <row r="39" spans="1:4" ht="15">
      <c r="A39" s="359" t="s">
        <v>239</v>
      </c>
      <c r="B39" s="365" t="s">
        <v>478</v>
      </c>
      <c r="C39" s="359">
        <v>1</v>
      </c>
      <c r="D39" s="422">
        <v>1181.36</v>
      </c>
    </row>
    <row r="40" spans="1:4" ht="15.75" thickBot="1">
      <c r="A40" s="807" t="s">
        <v>455</v>
      </c>
      <c r="B40" s="758" t="s">
        <v>211</v>
      </c>
      <c r="C40" s="807">
        <v>2</v>
      </c>
      <c r="D40" s="424">
        <v>1277.7</v>
      </c>
    </row>
    <row r="41" spans="1:4" ht="14.25" customHeight="1" thickBot="1">
      <c r="A41" s="806" t="s">
        <v>701</v>
      </c>
      <c r="B41" s="825"/>
      <c r="C41" s="1013"/>
      <c r="D41" s="841">
        <v>3389.01</v>
      </c>
    </row>
    <row r="42" spans="1:4" ht="15">
      <c r="A42" s="808" t="s">
        <v>780</v>
      </c>
      <c r="B42" s="935"/>
      <c r="C42" s="377"/>
      <c r="D42" s="947"/>
    </row>
    <row r="43" spans="1:4" ht="15">
      <c r="A43" s="359" t="s">
        <v>303</v>
      </c>
      <c r="B43" s="677" t="s">
        <v>478</v>
      </c>
      <c r="C43" s="359">
        <v>1</v>
      </c>
      <c r="D43" s="555">
        <v>528.29</v>
      </c>
    </row>
    <row r="44" spans="1:4" ht="15.75" thickBot="1">
      <c r="A44" s="807" t="s">
        <v>197</v>
      </c>
      <c r="B44" s="934"/>
      <c r="C44" s="1014">
        <v>1</v>
      </c>
      <c r="D44" s="425">
        <v>353.14</v>
      </c>
    </row>
    <row r="45" spans="1:4" ht="15.75" thickBot="1">
      <c r="A45" s="806" t="s">
        <v>701</v>
      </c>
      <c r="B45" s="825"/>
      <c r="C45" s="1017"/>
      <c r="D45" s="533">
        <v>881.43</v>
      </c>
    </row>
    <row r="46" spans="1:4" ht="15">
      <c r="A46" s="808" t="s">
        <v>424</v>
      </c>
      <c r="B46" s="935"/>
      <c r="C46" s="1016"/>
      <c r="D46" s="810"/>
    </row>
    <row r="47" spans="1:4" ht="15">
      <c r="A47" s="377" t="s">
        <v>155</v>
      </c>
      <c r="B47" s="935" t="s">
        <v>140</v>
      </c>
      <c r="C47" s="363">
        <v>0.02</v>
      </c>
      <c r="D47" s="532">
        <v>6055</v>
      </c>
    </row>
    <row r="48" spans="1:4" ht="15">
      <c r="A48" s="359" t="s">
        <v>601</v>
      </c>
      <c r="B48" s="677" t="s">
        <v>478</v>
      </c>
      <c r="C48" s="363">
        <v>1</v>
      </c>
      <c r="D48" s="532">
        <v>218.44</v>
      </c>
    </row>
    <row r="49" spans="1:4" ht="15.75" thickBot="1">
      <c r="A49" s="807" t="s">
        <v>695</v>
      </c>
      <c r="B49" s="758"/>
      <c r="C49" s="807">
        <v>1</v>
      </c>
      <c r="D49" s="424">
        <v>557.95</v>
      </c>
    </row>
    <row r="50" spans="1:4" ht="15.75" thickBot="1">
      <c r="A50" s="806" t="s">
        <v>701</v>
      </c>
      <c r="B50" s="811"/>
      <c r="C50" s="1023"/>
      <c r="D50" s="1240">
        <v>6831.39</v>
      </c>
    </row>
    <row r="51" spans="1:4" ht="15">
      <c r="A51" s="808" t="s">
        <v>425</v>
      </c>
      <c r="B51" s="570"/>
      <c r="C51" s="383"/>
      <c r="D51" s="441"/>
    </row>
    <row r="52" spans="1:4" ht="15">
      <c r="A52" s="377" t="s">
        <v>479</v>
      </c>
      <c r="B52" s="895" t="s">
        <v>372</v>
      </c>
      <c r="C52" s="534">
        <v>2</v>
      </c>
      <c r="D52" s="421">
        <v>2882.32</v>
      </c>
    </row>
    <row r="53" spans="1:4" ht="15">
      <c r="A53" s="377" t="s">
        <v>212</v>
      </c>
      <c r="B53" s="895" t="s">
        <v>81</v>
      </c>
      <c r="C53" s="534">
        <v>2</v>
      </c>
      <c r="D53" s="421">
        <v>3983.33</v>
      </c>
    </row>
    <row r="54" spans="1:4" ht="15.75" thickBot="1">
      <c r="A54" s="799" t="s">
        <v>882</v>
      </c>
      <c r="B54" s="1170"/>
      <c r="C54" s="531">
        <v>5</v>
      </c>
      <c r="D54" s="439">
        <v>7671.54</v>
      </c>
    </row>
    <row r="55" spans="1:4" ht="15.75" thickBot="1">
      <c r="A55" s="806" t="s">
        <v>701</v>
      </c>
      <c r="B55" s="811"/>
      <c r="C55" s="462"/>
      <c r="D55" s="863">
        <v>14537.19</v>
      </c>
    </row>
    <row r="56" spans="1:4" ht="15">
      <c r="A56" s="808" t="s">
        <v>153</v>
      </c>
      <c r="B56" s="895"/>
      <c r="C56" s="534"/>
      <c r="D56" s="441"/>
    </row>
    <row r="57" spans="1:4" ht="15">
      <c r="A57" s="377" t="s">
        <v>886</v>
      </c>
      <c r="B57" s="895" t="s">
        <v>478</v>
      </c>
      <c r="C57" s="534">
        <v>1</v>
      </c>
      <c r="D57" s="441">
        <v>620.63</v>
      </c>
    </row>
    <row r="58" spans="1:4" ht="15.75" thickBot="1">
      <c r="A58" s="799" t="s">
        <v>154</v>
      </c>
      <c r="B58" s="1170" t="s">
        <v>372</v>
      </c>
      <c r="C58" s="531">
        <v>1</v>
      </c>
      <c r="D58" s="836">
        <v>26.99</v>
      </c>
    </row>
    <row r="59" spans="1:4" ht="15.75" thickBot="1">
      <c r="A59" s="806" t="s">
        <v>701</v>
      </c>
      <c r="B59" s="811"/>
      <c r="C59" s="462"/>
      <c r="D59" s="863">
        <v>647.62</v>
      </c>
    </row>
    <row r="60" spans="1:4" ht="15.75" thickBot="1">
      <c r="A60" s="799"/>
      <c r="B60" s="1170"/>
      <c r="C60" s="531"/>
      <c r="D60" s="836"/>
    </row>
    <row r="61" spans="1:4" ht="15.75" thickBot="1">
      <c r="A61" s="806" t="s">
        <v>282</v>
      </c>
      <c r="B61" s="811"/>
      <c r="C61" s="1013"/>
      <c r="D61" s="863">
        <v>75793.73</v>
      </c>
    </row>
    <row r="62" spans="1:4" ht="15">
      <c r="A62" s="377"/>
      <c r="B62" s="570"/>
      <c r="C62" s="377"/>
      <c r="D62" s="810"/>
    </row>
    <row r="63" spans="1:4" ht="15">
      <c r="A63" s="944" t="s">
        <v>743</v>
      </c>
      <c r="B63" s="365"/>
      <c r="C63" s="359"/>
      <c r="D63" s="1089">
        <v>25605.89</v>
      </c>
    </row>
    <row r="64" spans="1:4" ht="15">
      <c r="A64" s="944" t="s">
        <v>904</v>
      </c>
      <c r="B64" s="365"/>
      <c r="C64" s="369"/>
      <c r="D64" s="1039">
        <v>27665.03</v>
      </c>
    </row>
    <row r="65" spans="1:4" ht="15">
      <c r="A65" s="944" t="s">
        <v>735</v>
      </c>
      <c r="B65" s="365"/>
      <c r="C65" s="369"/>
      <c r="D65" s="869">
        <v>97327.99</v>
      </c>
    </row>
    <row r="66" spans="1:4" ht="15" thickBot="1">
      <c r="A66" s="902"/>
      <c r="B66" s="1065"/>
      <c r="C66" s="519"/>
      <c r="D66" s="1077"/>
    </row>
    <row r="67" spans="1:4" ht="15.75" thickBot="1">
      <c r="A67" s="806" t="s">
        <v>918</v>
      </c>
      <c r="B67" s="825"/>
      <c r="C67" s="1023"/>
      <c r="D67" s="858">
        <v>526992.31</v>
      </c>
    </row>
    <row r="70" spans="1:4" ht="15">
      <c r="A70" s="370"/>
      <c r="B70" s="370"/>
      <c r="C70" s="370"/>
      <c r="D70" s="371"/>
    </row>
    <row r="71" spans="1:4" ht="15">
      <c r="A71" s="370"/>
      <c r="B71" s="370"/>
      <c r="C71" s="370"/>
      <c r="D71" s="371"/>
    </row>
    <row r="72" spans="1:4" ht="14.25">
      <c r="A72" s="764"/>
      <c r="B72" s="358"/>
      <c r="C72" s="359"/>
      <c r="D72" s="1262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332" t="s">
        <v>569</v>
      </c>
      <c r="B74" s="1332"/>
      <c r="C74" s="628"/>
      <c r="D74" s="608">
        <v>650294.18</v>
      </c>
    </row>
    <row r="75" spans="1:4" ht="15">
      <c r="A75" s="1332" t="s">
        <v>570</v>
      </c>
      <c r="B75" s="1332"/>
      <c r="C75" s="607"/>
      <c r="D75" s="608">
        <v>526992.31</v>
      </c>
    </row>
    <row r="76" spans="1:4" ht="15">
      <c r="A76" s="1333" t="s">
        <v>571</v>
      </c>
      <c r="B76" s="1333"/>
      <c r="C76" s="629"/>
      <c r="D76" s="629">
        <v>-123301.87</v>
      </c>
    </row>
    <row r="77" spans="1:4" ht="15">
      <c r="A77" s="1332" t="s">
        <v>179</v>
      </c>
      <c r="B77" s="1332"/>
      <c r="C77" s="1258"/>
      <c r="D77" s="630">
        <v>-123301.87</v>
      </c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5">
      <c r="A82" s="538"/>
      <c r="B82" s="538"/>
      <c r="C82" s="1259"/>
      <c r="D82" s="1260"/>
    </row>
    <row r="83" ht="12.75">
      <c r="A83" s="735" t="s">
        <v>357</v>
      </c>
    </row>
    <row r="84" ht="12.75">
      <c r="A84" s="735" t="s">
        <v>906</v>
      </c>
    </row>
    <row r="85" ht="12.75">
      <c r="A85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74:B74"/>
    <mergeCell ref="A75:B75"/>
    <mergeCell ref="A76:B76"/>
    <mergeCell ref="A77:B7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9">
      <selection activeCell="A14" sqref="A14:IV14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2.85156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870</v>
      </c>
      <c r="C7" s="1392"/>
      <c r="D7"/>
    </row>
    <row r="8" spans="2:4" ht="13.5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69739.03+649.89</f>
        <v>70388.92</v>
      </c>
      <c r="E11" s="25">
        <v>11526.25</v>
      </c>
    </row>
    <row r="12" spans="2:5" ht="16.5" thickBot="1">
      <c r="B12" s="1398" t="s">
        <v>646</v>
      </c>
      <c r="C12" s="1399"/>
      <c r="D12" s="25">
        <f>646018.03+4173.6</f>
        <v>650191.63</v>
      </c>
      <c r="E12" s="25">
        <v>33619.89</v>
      </c>
    </row>
    <row r="13" spans="2:5" ht="16.5" thickBot="1">
      <c r="B13" s="1398" t="s">
        <v>647</v>
      </c>
      <c r="C13" s="1399"/>
      <c r="D13" s="25">
        <f>619826.45+4592.57</f>
        <v>624419.0199999999</v>
      </c>
      <c r="E13" s="25">
        <v>45102.37</v>
      </c>
    </row>
    <row r="14" spans="2:5" ht="16.5" hidden="1" thickBot="1">
      <c r="B14" s="1398" t="s">
        <v>666</v>
      </c>
      <c r="C14" s="1399"/>
      <c r="D14" s="25"/>
      <c r="E14" s="25"/>
    </row>
    <row r="15" spans="2:5" ht="16.5" thickBot="1">
      <c r="B15" s="1398" t="s">
        <v>648</v>
      </c>
      <c r="C15" s="1399"/>
      <c r="D15" s="25">
        <f>D11+D12-D13</f>
        <v>96161.53000000014</v>
      </c>
      <c r="E15" s="25">
        <f>E11+E12-E13</f>
        <v>43.7699999999968</v>
      </c>
    </row>
    <row r="16" spans="2:5" ht="16.5" thickBot="1">
      <c r="B16" s="1398" t="s">
        <v>832</v>
      </c>
      <c r="C16" s="1399"/>
      <c r="D16" s="75">
        <f>E23+E47</f>
        <v>570061.78</v>
      </c>
      <c r="E16" s="73">
        <v>18898.4</v>
      </c>
    </row>
    <row r="17" spans="3:4" ht="12.75">
      <c r="C17" s="83"/>
      <c r="D17" s="81"/>
    </row>
    <row r="18" spans="3:4" ht="12.75">
      <c r="C18" s="83"/>
      <c r="D18" s="81"/>
    </row>
    <row r="19" spans="2:5" ht="18.75">
      <c r="B19" s="1397" t="s">
        <v>650</v>
      </c>
      <c r="C19" s="1397"/>
      <c r="D19" s="1397"/>
      <c r="E19" s="1397"/>
    </row>
    <row r="20" spans="2:5" ht="18.75">
      <c r="B20" s="1397" t="s">
        <v>1009</v>
      </c>
      <c r="C20" s="1397"/>
      <c r="D20" s="1397"/>
      <c r="E20" s="1397"/>
    </row>
    <row r="21" ht="13.5" thickBot="1">
      <c r="D21" s="11"/>
    </row>
    <row r="22" spans="1:5" ht="48" thickBot="1">
      <c r="A22" s="9"/>
      <c r="B22" s="34" t="s">
        <v>651</v>
      </c>
      <c r="C22" s="60" t="s">
        <v>667</v>
      </c>
      <c r="D22" s="59" t="s">
        <v>673</v>
      </c>
      <c r="E22" s="63" t="s">
        <v>793</v>
      </c>
    </row>
    <row r="23" spans="1:5" ht="20.25" thickBot="1">
      <c r="A23" s="9"/>
      <c r="B23" s="35" t="s">
        <v>761</v>
      </c>
      <c r="C23" s="61"/>
      <c r="D23" s="10"/>
      <c r="E23" s="62">
        <f>E24+E30+E32+E33+E34+E35+E45</f>
        <v>396487.11000000004</v>
      </c>
    </row>
    <row r="24" spans="1:5" ht="32.25" thickBot="1">
      <c r="A24" s="11"/>
      <c r="B24" s="67" t="s">
        <v>662</v>
      </c>
      <c r="C24" s="64" t="s">
        <v>652</v>
      </c>
      <c r="D24" s="43"/>
      <c r="E24" s="230">
        <v>184533.01</v>
      </c>
    </row>
    <row r="25" spans="2:5" ht="32.25" hidden="1" thickBot="1">
      <c r="B25" s="67" t="s">
        <v>686</v>
      </c>
      <c r="C25" s="65" t="s">
        <v>661</v>
      </c>
      <c r="D25" s="44"/>
      <c r="E25" s="174"/>
    </row>
    <row r="26" spans="2:5" ht="16.5" hidden="1" thickBot="1">
      <c r="B26" s="67" t="s">
        <v>765</v>
      </c>
      <c r="C26" s="65" t="s">
        <v>661</v>
      </c>
      <c r="D26" s="44"/>
      <c r="E26" s="174"/>
    </row>
    <row r="27" spans="2:5" ht="39.75" hidden="1" thickBot="1">
      <c r="B27" s="67" t="s">
        <v>655</v>
      </c>
      <c r="C27" s="64" t="s">
        <v>653</v>
      </c>
      <c r="D27" s="45"/>
      <c r="E27" s="237"/>
    </row>
    <row r="28" spans="2:5" ht="48" hidden="1" thickBot="1">
      <c r="B28" s="67" t="s">
        <v>796</v>
      </c>
      <c r="C28" s="65" t="s">
        <v>661</v>
      </c>
      <c r="D28" s="44"/>
      <c r="E28" s="174"/>
    </row>
    <row r="29" spans="2:5" ht="48" hidden="1" thickBot="1">
      <c r="B29" s="67" t="s">
        <v>797</v>
      </c>
      <c r="C29" s="65" t="s">
        <v>661</v>
      </c>
      <c r="D29" s="44"/>
      <c r="E29" s="174"/>
    </row>
    <row r="30" spans="2:5" ht="16.5" thickBot="1">
      <c r="B30" s="67" t="s">
        <v>654</v>
      </c>
      <c r="C30" s="48" t="s">
        <v>656</v>
      </c>
      <c r="D30" s="43" t="s">
        <v>801</v>
      </c>
      <c r="E30" s="230">
        <v>97341.96</v>
      </c>
    </row>
    <row r="31" spans="2:5" ht="32.25" hidden="1" thickBot="1">
      <c r="B31" s="67" t="s">
        <v>798</v>
      </c>
      <c r="C31" s="65" t="s">
        <v>661</v>
      </c>
      <c r="D31" s="47" t="s">
        <v>822</v>
      </c>
      <c r="E31" s="174"/>
    </row>
    <row r="32" spans="2:5" ht="27" thickBot="1">
      <c r="B32" s="67" t="s">
        <v>658</v>
      </c>
      <c r="C32" s="64" t="s">
        <v>657</v>
      </c>
      <c r="D32" s="43"/>
      <c r="E32" s="230">
        <v>87124.1</v>
      </c>
    </row>
    <row r="33" spans="2:5" ht="16.5" thickBot="1">
      <c r="B33" s="133" t="s">
        <v>799</v>
      </c>
      <c r="C33" s="64" t="s">
        <v>661</v>
      </c>
      <c r="D33" s="43"/>
      <c r="E33" s="230">
        <v>340.3</v>
      </c>
    </row>
    <row r="34" spans="2:5" ht="16.5" thickBot="1">
      <c r="B34" s="67" t="s">
        <v>879</v>
      </c>
      <c r="C34" s="64" t="s">
        <v>661</v>
      </c>
      <c r="D34" s="43"/>
      <c r="E34" s="230">
        <f>3307.96+1524.12</f>
        <v>4832.08</v>
      </c>
    </row>
    <row r="35" spans="2:5" ht="16.5" thickBot="1">
      <c r="B35" s="67" t="s">
        <v>931</v>
      </c>
      <c r="C35" s="64" t="s">
        <v>661</v>
      </c>
      <c r="D35" s="43"/>
      <c r="E35" s="230">
        <v>2600.8</v>
      </c>
    </row>
    <row r="36" spans="2:5" ht="32.2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94.5" hidden="1" thickBot="1">
      <c r="B39" s="36" t="s">
        <v>790</v>
      </c>
      <c r="C39" s="65" t="s">
        <v>661</v>
      </c>
      <c r="D39" s="44"/>
      <c r="E39" s="174"/>
    </row>
    <row r="40" spans="2:5" ht="63.75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52.5" hidden="1" thickBot="1">
      <c r="B43" s="67" t="s">
        <v>670</v>
      </c>
      <c r="C43" s="64" t="s">
        <v>684</v>
      </c>
      <c r="D43" s="46"/>
      <c r="E43" s="240"/>
    </row>
    <row r="44" spans="2:5" ht="63.75" hidden="1" thickBot="1">
      <c r="B44" s="68" t="s">
        <v>800</v>
      </c>
      <c r="C44" s="65" t="s">
        <v>661</v>
      </c>
      <c r="D44" s="44"/>
      <c r="E44" s="251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19714.86</v>
      </c>
    </row>
    <row r="46" spans="2:5" ht="32.25" hidden="1" thickBot="1">
      <c r="B46" s="70" t="s">
        <v>802</v>
      </c>
      <c r="C46" s="47"/>
      <c r="D46" s="44"/>
      <c r="E46" s="252"/>
    </row>
    <row r="47" spans="2:5" ht="20.25" thickBot="1">
      <c r="B47" s="14" t="s">
        <v>760</v>
      </c>
      <c r="C47" s="17"/>
      <c r="E47" s="261">
        <f>E59</f>
        <v>173574.67</v>
      </c>
    </row>
    <row r="48" spans="2:5" ht="24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>
      <c r="B49" s="217" t="s">
        <v>816</v>
      </c>
      <c r="C49" s="255" t="s">
        <v>661</v>
      </c>
      <c r="D49" s="149"/>
      <c r="E49" s="266">
        <v>1700.41</v>
      </c>
    </row>
    <row r="50" spans="2:5" ht="15.75">
      <c r="B50" s="188" t="s">
        <v>930</v>
      </c>
      <c r="C50" s="255" t="s">
        <v>661</v>
      </c>
      <c r="D50" s="154"/>
      <c r="E50" s="266">
        <v>3046.39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1599.82+24186.76+3140.93</f>
        <v>28927.51</v>
      </c>
    </row>
    <row r="53" spans="2:5" ht="14.25">
      <c r="B53" s="157" t="s">
        <v>880</v>
      </c>
      <c r="C53" s="74" t="s">
        <v>661</v>
      </c>
      <c r="D53" s="152"/>
      <c r="E53" s="177">
        <f>613.49+567.59</f>
        <v>1181.08</v>
      </c>
    </row>
    <row r="54" spans="2:5" ht="14.25">
      <c r="B54" s="157" t="s">
        <v>925</v>
      </c>
      <c r="C54" s="74" t="s">
        <v>661</v>
      </c>
      <c r="D54" s="152"/>
      <c r="E54" s="177">
        <f>12036.86+11553.71</f>
        <v>23590.57</v>
      </c>
    </row>
    <row r="55" spans="2:5" ht="15">
      <c r="B55" s="151" t="s">
        <v>1025</v>
      </c>
      <c r="C55" s="118"/>
      <c r="D55" s="152"/>
      <c r="E55" s="220"/>
    </row>
    <row r="56" spans="2:5" ht="14.25">
      <c r="B56" s="159" t="s">
        <v>998</v>
      </c>
      <c r="C56" s="74" t="s">
        <v>661</v>
      </c>
      <c r="D56" s="152"/>
      <c r="E56" s="177">
        <f>92135.99+21682</f>
        <v>113817.99</v>
      </c>
    </row>
    <row r="57" spans="2:5" ht="15">
      <c r="B57" s="159" t="s">
        <v>929</v>
      </c>
      <c r="C57" s="74" t="s">
        <v>661</v>
      </c>
      <c r="D57" s="13"/>
      <c r="E57" s="268">
        <v>1310.72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E49+E52+E53+E56+E57+E54+E50</f>
        <v>173574.67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1"/>
      <c r="C64" s="11"/>
      <c r="D64" s="11"/>
      <c r="E64" s="207"/>
    </row>
    <row r="65" spans="2:5" ht="15.75">
      <c r="B65" s="6" t="s">
        <v>830</v>
      </c>
      <c r="C65" s="6" t="s">
        <v>889</v>
      </c>
      <c r="E65" s="254"/>
    </row>
    <row r="68" ht="15.75">
      <c r="B68" s="7"/>
    </row>
  </sheetData>
  <sheetProtection/>
  <mergeCells count="13">
    <mergeCell ref="B7:C7"/>
    <mergeCell ref="B9:C10"/>
    <mergeCell ref="B2:C2"/>
    <mergeCell ref="B3:C3"/>
    <mergeCell ref="B4:C4"/>
    <mergeCell ref="B5:C5"/>
    <mergeCell ref="B20:E20"/>
    <mergeCell ref="B12:C12"/>
    <mergeCell ref="B13:C13"/>
    <mergeCell ref="B14:C14"/>
    <mergeCell ref="B15:C15"/>
    <mergeCell ref="B16:C16"/>
    <mergeCell ref="B19:E19"/>
  </mergeCells>
  <printOptions/>
  <pageMargins left="0" right="0" top="0.1968503937007874" bottom="0" header="0.31496062992125984" footer="0.31496062992125984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99CC"/>
  </sheetPr>
  <dimension ref="A3:D8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333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117050.4</v>
      </c>
      <c r="D13" s="1309"/>
    </row>
    <row r="14" spans="1:4" ht="14.25">
      <c r="A14" s="471" t="s">
        <v>538</v>
      </c>
      <c r="B14" s="473"/>
      <c r="C14" s="1375">
        <v>685484.88</v>
      </c>
      <c r="D14" s="1376"/>
    </row>
    <row r="15" spans="1:4" ht="14.25">
      <c r="A15" s="470" t="s">
        <v>647</v>
      </c>
      <c r="B15" s="474"/>
      <c r="C15" s="1312">
        <v>647812.65</v>
      </c>
      <c r="D15" s="1313"/>
    </row>
    <row r="16" spans="1:4" ht="15">
      <c r="A16" s="475" t="s">
        <v>348</v>
      </c>
      <c r="B16" s="476"/>
      <c r="C16" s="1377">
        <f>C13+C14-C15</f>
        <v>154722.63</v>
      </c>
      <c r="D16" s="1378"/>
    </row>
    <row r="17" spans="1:4" ht="14.25">
      <c r="A17" s="470" t="s">
        <v>540</v>
      </c>
      <c r="B17" s="474"/>
      <c r="C17" s="1407">
        <v>839744.1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18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119386.76</v>
      </c>
    </row>
    <row r="26" spans="1:4" ht="15">
      <c r="A26" s="546" t="s">
        <v>654</v>
      </c>
      <c r="B26" s="536" t="s">
        <v>656</v>
      </c>
      <c r="C26" s="536" t="s">
        <v>801</v>
      </c>
      <c r="D26" s="528">
        <v>69946.65</v>
      </c>
    </row>
    <row r="27" spans="1:4" ht="24.75">
      <c r="A27" s="546" t="s">
        <v>14</v>
      </c>
      <c r="B27" s="397" t="s">
        <v>657</v>
      </c>
      <c r="C27" s="506"/>
      <c r="D27" s="507">
        <v>87442.37</v>
      </c>
    </row>
    <row r="28" spans="1:4" ht="16.5" customHeight="1">
      <c r="A28" s="492" t="s">
        <v>395</v>
      </c>
      <c r="B28" s="399"/>
      <c r="C28" s="508"/>
      <c r="D28" s="509">
        <v>27015.81</v>
      </c>
    </row>
    <row r="29" spans="1:4" ht="15.75" thickBot="1">
      <c r="A29" s="492" t="s">
        <v>799</v>
      </c>
      <c r="B29" s="399"/>
      <c r="C29" s="508"/>
      <c r="D29" s="509">
        <v>23903.73</v>
      </c>
    </row>
    <row r="30" spans="1:4" ht="15.75" thickBot="1">
      <c r="A30" s="805" t="s">
        <v>789</v>
      </c>
      <c r="B30" s="1241"/>
      <c r="C30" s="981"/>
      <c r="D30" s="839">
        <v>327695.32</v>
      </c>
    </row>
    <row r="31" spans="1:4" ht="15.75" thickBot="1">
      <c r="A31" s="487" t="s">
        <v>914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1296" t="s">
        <v>673</v>
      </c>
      <c r="D32" s="516" t="s">
        <v>793</v>
      </c>
    </row>
    <row r="33" spans="1:4" ht="15">
      <c r="A33" s="369" t="s">
        <v>747</v>
      </c>
      <c r="B33" s="358" t="s">
        <v>40</v>
      </c>
      <c r="C33" s="1298">
        <v>2</v>
      </c>
      <c r="D33" s="578">
        <v>183400</v>
      </c>
    </row>
    <row r="34" spans="1:4" ht="15">
      <c r="A34" s="369" t="s">
        <v>420</v>
      </c>
      <c r="B34" s="358"/>
      <c r="C34" s="1294">
        <v>1</v>
      </c>
      <c r="D34" s="578">
        <v>622.81</v>
      </c>
    </row>
    <row r="35" spans="1:4" ht="28.5">
      <c r="A35" s="492" t="s">
        <v>954</v>
      </c>
      <c r="B35" s="358" t="s">
        <v>40</v>
      </c>
      <c r="C35" s="443">
        <v>1</v>
      </c>
      <c r="D35" s="578">
        <v>1177.07</v>
      </c>
    </row>
    <row r="36" spans="1:4" ht="15.75" thickBot="1">
      <c r="A36" s="390" t="s">
        <v>11</v>
      </c>
      <c r="B36" s="748"/>
      <c r="C36" s="1299"/>
      <c r="D36" s="459">
        <v>32137.49</v>
      </c>
    </row>
    <row r="37" spans="1:4" ht="15.75" thickBot="1">
      <c r="A37" s="806" t="s">
        <v>789</v>
      </c>
      <c r="B37" s="957"/>
      <c r="C37" s="1300"/>
      <c r="D37" s="858">
        <v>217337.37</v>
      </c>
    </row>
    <row r="38" spans="1:4" ht="15">
      <c r="A38" s="808" t="s">
        <v>500</v>
      </c>
      <c r="B38" s="376"/>
      <c r="C38" s="433"/>
      <c r="D38" s="377"/>
    </row>
    <row r="39" spans="1:4" ht="15">
      <c r="A39" s="359" t="s">
        <v>393</v>
      </c>
      <c r="B39" s="677"/>
      <c r="C39" s="410">
        <v>1</v>
      </c>
      <c r="D39" s="425">
        <v>762.77</v>
      </c>
    </row>
    <row r="40" spans="1:4" ht="15">
      <c r="A40" s="359" t="s">
        <v>972</v>
      </c>
      <c r="B40" s="677"/>
      <c r="C40" s="410">
        <v>1</v>
      </c>
      <c r="D40" s="424">
        <v>26691.99</v>
      </c>
    </row>
    <row r="41" spans="1:4" ht="15">
      <c r="A41" s="359" t="s">
        <v>393</v>
      </c>
      <c r="B41" s="677"/>
      <c r="C41" s="358">
        <v>7</v>
      </c>
      <c r="D41" s="425">
        <v>40385.81</v>
      </c>
    </row>
    <row r="42" spans="1:4" ht="15">
      <c r="A42" s="359" t="s">
        <v>239</v>
      </c>
      <c r="B42" s="365" t="s">
        <v>40</v>
      </c>
      <c r="C42" s="358">
        <v>1</v>
      </c>
      <c r="D42" s="555">
        <v>1318.44</v>
      </c>
    </row>
    <row r="43" spans="1:4" ht="15">
      <c r="A43" s="359" t="s">
        <v>480</v>
      </c>
      <c r="B43" s="365" t="s">
        <v>40</v>
      </c>
      <c r="C43" s="358">
        <v>1</v>
      </c>
      <c r="D43" s="425">
        <v>8390.13</v>
      </c>
    </row>
    <row r="44" spans="1:4" ht="15.75" thickBot="1">
      <c r="A44" s="807" t="s">
        <v>157</v>
      </c>
      <c r="B44" s="758" t="s">
        <v>40</v>
      </c>
      <c r="C44" s="1207">
        <v>1</v>
      </c>
      <c r="D44" s="425">
        <v>188.75</v>
      </c>
    </row>
    <row r="45" spans="1:4" ht="15.75" thickBot="1">
      <c r="A45" s="806" t="s">
        <v>789</v>
      </c>
      <c r="B45" s="825"/>
      <c r="C45" s="1300"/>
      <c r="D45" s="533">
        <v>77737.89</v>
      </c>
    </row>
    <row r="46" spans="1:4" ht="15">
      <c r="A46" s="890" t="s">
        <v>780</v>
      </c>
      <c r="B46" s="895"/>
      <c r="C46" s="433"/>
      <c r="D46" s="598"/>
    </row>
    <row r="47" spans="1:4" ht="15.75" thickBot="1">
      <c r="A47" s="999" t="s">
        <v>158</v>
      </c>
      <c r="B47" s="758"/>
      <c r="C47" s="1207">
        <v>4</v>
      </c>
      <c r="D47" s="541">
        <v>1843.61</v>
      </c>
    </row>
    <row r="48" spans="1:4" ht="15.75" thickBot="1">
      <c r="A48" s="806" t="s">
        <v>789</v>
      </c>
      <c r="B48" s="811"/>
      <c r="C48" s="1300"/>
      <c r="D48" s="858">
        <v>1843.61</v>
      </c>
    </row>
    <row r="49" spans="1:4" ht="15">
      <c r="A49" s="890" t="s">
        <v>424</v>
      </c>
      <c r="B49" s="570"/>
      <c r="C49" s="433"/>
      <c r="D49" s="598"/>
    </row>
    <row r="50" spans="1:4" ht="15.75" thickBot="1">
      <c r="A50" s="526" t="s">
        <v>695</v>
      </c>
      <c r="B50" s="758"/>
      <c r="C50" s="1207">
        <v>3</v>
      </c>
      <c r="D50" s="541">
        <v>1579.72</v>
      </c>
    </row>
    <row r="51" spans="1:4" ht="15.75" thickBot="1">
      <c r="A51" s="806" t="s">
        <v>789</v>
      </c>
      <c r="B51" s="811"/>
      <c r="C51" s="1300"/>
      <c r="D51" s="858">
        <v>1579.72</v>
      </c>
    </row>
    <row r="52" spans="1:4" ht="15">
      <c r="A52" s="890" t="s">
        <v>425</v>
      </c>
      <c r="B52" s="570"/>
      <c r="C52" s="433"/>
      <c r="D52" s="598"/>
    </row>
    <row r="53" spans="1:4" ht="15">
      <c r="A53" s="387" t="s">
        <v>882</v>
      </c>
      <c r="B53" s="365"/>
      <c r="C53" s="410">
        <v>1</v>
      </c>
      <c r="D53" s="532">
        <v>436.6</v>
      </c>
    </row>
    <row r="54" spans="1:4" ht="15.75" thickBot="1">
      <c r="A54" s="526" t="s">
        <v>479</v>
      </c>
      <c r="B54" s="758" t="s">
        <v>52</v>
      </c>
      <c r="C54" s="1207">
        <v>1</v>
      </c>
      <c r="D54" s="541">
        <v>234.36</v>
      </c>
    </row>
    <row r="55" spans="1:4" ht="15.75" thickBot="1">
      <c r="A55" s="806" t="s">
        <v>789</v>
      </c>
      <c r="B55" s="811"/>
      <c r="C55" s="1300"/>
      <c r="D55" s="858">
        <v>670.96</v>
      </c>
    </row>
    <row r="56" spans="1:4" ht="15">
      <c r="A56" s="890" t="s">
        <v>386</v>
      </c>
      <c r="B56" s="570"/>
      <c r="C56" s="433"/>
      <c r="D56" s="598"/>
    </row>
    <row r="57" spans="1:4" ht="15.75" thickBot="1">
      <c r="A57" s="526" t="s">
        <v>886</v>
      </c>
      <c r="B57" s="758" t="s">
        <v>40</v>
      </c>
      <c r="C57" s="1207">
        <v>3</v>
      </c>
      <c r="D57" s="541">
        <v>2310.26</v>
      </c>
    </row>
    <row r="58" spans="1:4" ht="15.75" thickBot="1">
      <c r="A58" s="806" t="s">
        <v>789</v>
      </c>
      <c r="B58" s="811"/>
      <c r="C58" s="1297"/>
      <c r="D58" s="858">
        <v>2310.26</v>
      </c>
    </row>
    <row r="59" spans="1:4" ht="15">
      <c r="A59" s="377"/>
      <c r="B59" s="570"/>
      <c r="C59" s="385"/>
      <c r="D59" s="598"/>
    </row>
    <row r="60" spans="1:4" ht="15.75" thickBot="1">
      <c r="A60" s="807"/>
      <c r="B60" s="758"/>
      <c r="C60" s="807"/>
      <c r="D60" s="439"/>
    </row>
    <row r="61" spans="1:4" ht="15.75" thickBot="1">
      <c r="A61" s="806" t="s">
        <v>156</v>
      </c>
      <c r="B61" s="811"/>
      <c r="C61" s="1013"/>
      <c r="D61" s="841">
        <v>301479.81</v>
      </c>
    </row>
    <row r="62" spans="1:4" ht="15">
      <c r="A62" s="377"/>
      <c r="B62" s="570"/>
      <c r="C62" s="377"/>
      <c r="D62" s="810"/>
    </row>
    <row r="63" spans="1:4" ht="15">
      <c r="A63" s="944" t="s">
        <v>743</v>
      </c>
      <c r="B63" s="757"/>
      <c r="C63" s="944"/>
      <c r="D63" s="1089">
        <v>25900.77</v>
      </c>
    </row>
    <row r="64" spans="1:4" ht="15">
      <c r="A64" s="944" t="s">
        <v>904</v>
      </c>
      <c r="B64" s="757"/>
      <c r="C64" s="1151"/>
      <c r="D64" s="1077">
        <v>29579.4</v>
      </c>
    </row>
    <row r="65" spans="1:4" ht="15">
      <c r="A65" s="944" t="s">
        <v>735</v>
      </c>
      <c r="B65" s="757"/>
      <c r="C65" s="1151"/>
      <c r="D65" s="869">
        <v>155088.8</v>
      </c>
    </row>
    <row r="66" spans="1:4" ht="15" thickBot="1">
      <c r="A66" s="902"/>
      <c r="B66" s="1065"/>
      <c r="C66" s="519"/>
      <c r="D66" s="1077"/>
    </row>
    <row r="67" spans="1:4" ht="15.75" thickBot="1">
      <c r="A67" s="806" t="s">
        <v>918</v>
      </c>
      <c r="B67" s="811"/>
      <c r="C67" s="1023"/>
      <c r="D67" s="858">
        <v>839744.1</v>
      </c>
    </row>
    <row r="70" spans="1:4" ht="15">
      <c r="A70" s="370"/>
      <c r="B70" s="370"/>
      <c r="C70" s="370"/>
      <c r="D70" s="371"/>
    </row>
    <row r="71" spans="1:4" ht="15">
      <c r="A71" s="370"/>
      <c r="B71" s="370"/>
      <c r="C71" s="370"/>
      <c r="D71" s="371"/>
    </row>
    <row r="72" spans="1:4" ht="14.25">
      <c r="A72" s="764"/>
      <c r="B72" s="358"/>
      <c r="C72" s="359"/>
      <c r="D72" s="1262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332" t="s">
        <v>569</v>
      </c>
      <c r="B74" s="1332"/>
      <c r="C74" s="628"/>
      <c r="D74" s="608">
        <v>647812.65</v>
      </c>
    </row>
    <row r="75" spans="1:4" ht="15">
      <c r="A75" s="1332" t="s">
        <v>570</v>
      </c>
      <c r="B75" s="1332"/>
      <c r="C75" s="607"/>
      <c r="D75" s="608">
        <v>839744.1</v>
      </c>
    </row>
    <row r="76" spans="1:4" ht="15">
      <c r="A76" s="1333" t="s">
        <v>571</v>
      </c>
      <c r="B76" s="1333"/>
      <c r="C76" s="629"/>
      <c r="D76" s="629">
        <v>191931.45</v>
      </c>
    </row>
    <row r="77" spans="1:4" ht="15">
      <c r="A77" s="1332" t="s">
        <v>179</v>
      </c>
      <c r="B77" s="1332"/>
      <c r="C77" s="1258"/>
      <c r="D77" s="630">
        <v>191931.45</v>
      </c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5">
      <c r="A82" s="538"/>
      <c r="B82" s="538"/>
      <c r="C82" s="1259"/>
      <c r="D82" s="1260"/>
    </row>
    <row r="83" ht="12.75">
      <c r="A83" s="735" t="s">
        <v>357</v>
      </c>
    </row>
    <row r="84" ht="12.75">
      <c r="A84" s="735" t="s">
        <v>906</v>
      </c>
    </row>
    <row r="85" ht="12.75">
      <c r="A85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74:B74"/>
    <mergeCell ref="A75:B75"/>
    <mergeCell ref="A76:B76"/>
    <mergeCell ref="A77:B7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0.00390625" style="1" customWidth="1"/>
    <col min="4" max="4" width="17.140625" style="1" customWidth="1"/>
    <col min="5" max="5" width="14.7109375" style="1" customWidth="1"/>
    <col min="6" max="6" width="14.00390625" style="0" customWidth="1"/>
  </cols>
  <sheetData>
    <row r="1" ht="12.75">
      <c r="D1" s="1" t="s">
        <v>792</v>
      </c>
    </row>
    <row r="2" spans="2:5" ht="24.75">
      <c r="B2" s="1390" t="s">
        <v>687</v>
      </c>
      <c r="C2" s="1390"/>
      <c r="D2"/>
      <c r="E2" s="82"/>
    </row>
    <row r="3" spans="2:5" ht="18.75">
      <c r="B3" s="1391" t="s">
        <v>803</v>
      </c>
      <c r="C3" s="1391"/>
      <c r="D3"/>
      <c r="E3" s="82"/>
    </row>
    <row r="4" spans="2:5" ht="18.75">
      <c r="B4" s="1391" t="s">
        <v>641</v>
      </c>
      <c r="C4" s="1391"/>
      <c r="D4"/>
      <c r="E4" s="82"/>
    </row>
    <row r="5" spans="2:4" ht="18.75">
      <c r="B5" s="1391" t="s">
        <v>877</v>
      </c>
      <c r="C5" s="1391"/>
      <c r="D5"/>
    </row>
    <row r="6" spans="2:4" ht="9" customHeight="1">
      <c r="B6" s="26"/>
      <c r="C6" s="26"/>
      <c r="D6"/>
    </row>
    <row r="7" spans="2:4" ht="15.75">
      <c r="B7" s="1392" t="s">
        <v>871</v>
      </c>
      <c r="C7" s="1392"/>
      <c r="D7"/>
    </row>
    <row r="8" spans="2:4" ht="9.75" customHeight="1" thickBot="1">
      <c r="B8" s="4"/>
      <c r="C8"/>
      <c r="D8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106974.2+737.8</f>
        <v>107712</v>
      </c>
      <c r="E11" s="25">
        <v>20811.25</v>
      </c>
    </row>
    <row r="12" spans="2:5" ht="16.5" thickBot="1">
      <c r="B12" s="1398" t="s">
        <v>646</v>
      </c>
      <c r="C12" s="1399"/>
      <c r="D12" s="25">
        <f>947755.6+4222.3</f>
        <v>951977.9</v>
      </c>
      <c r="E12" s="25">
        <v>47817.94</v>
      </c>
    </row>
    <row r="13" spans="2:5" ht="16.5" thickBot="1">
      <c r="B13" s="1398" t="s">
        <v>647</v>
      </c>
      <c r="C13" s="1399"/>
      <c r="D13" s="25">
        <f>869969.17+4790.18</f>
        <v>874759.3500000001</v>
      </c>
      <c r="E13" s="25">
        <v>62572.2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/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184930.5499999998</v>
      </c>
      <c r="E17" s="25">
        <f>E11+E12-E13</f>
        <v>6056.990000000005</v>
      </c>
    </row>
    <row r="18" spans="2:5" ht="16.5" thickBot="1">
      <c r="B18" s="1398" t="s">
        <v>832</v>
      </c>
      <c r="C18" s="1399"/>
      <c r="D18" s="75">
        <f>E24+E48</f>
        <v>1163171.19</v>
      </c>
      <c r="E18" s="73">
        <v>18898.4</v>
      </c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6.75" customHeight="1" thickBot="1">
      <c r="D22" s="11"/>
    </row>
    <row r="23" spans="1:5" ht="48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E25+E31+E33+E34+E35+E36+E46</f>
        <v>673274.32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349559.49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146477.06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136011.28</v>
      </c>
    </row>
    <row r="34" spans="2:5" ht="16.5" thickBot="1">
      <c r="B34" s="133" t="s">
        <v>799</v>
      </c>
      <c r="C34" s="64" t="s">
        <v>661</v>
      </c>
      <c r="D34" s="43"/>
      <c r="E34" s="230">
        <v>4142.45</v>
      </c>
    </row>
    <row r="35" spans="2:5" ht="16.5" thickBot="1">
      <c r="B35" s="67" t="s">
        <v>931</v>
      </c>
      <c r="C35" s="64" t="s">
        <v>661</v>
      </c>
      <c r="D35" s="43"/>
      <c r="E35" s="230">
        <v>4750.27</v>
      </c>
    </row>
    <row r="36" spans="2:5" ht="16.5" thickBot="1">
      <c r="B36" s="67" t="s">
        <v>879</v>
      </c>
      <c r="C36" s="64" t="s">
        <v>661</v>
      </c>
      <c r="D36" s="43"/>
      <c r="E36" s="230">
        <v>1387.5</v>
      </c>
    </row>
    <row r="37" spans="2:5" ht="32.25" hidden="1" thickBot="1">
      <c r="B37" s="68" t="s">
        <v>758</v>
      </c>
      <c r="C37" s="64" t="s">
        <v>665</v>
      </c>
      <c r="D37" s="43"/>
      <c r="E37" s="238"/>
    </row>
    <row r="38" spans="2:5" ht="32.25" hidden="1" thickBot="1">
      <c r="B38" s="67" t="s">
        <v>664</v>
      </c>
      <c r="C38" s="65" t="s">
        <v>661</v>
      </c>
      <c r="D38" s="44"/>
      <c r="E38" s="174"/>
    </row>
    <row r="39" spans="2:5" ht="32.25" hidden="1" thickBot="1">
      <c r="B39" s="67" t="s">
        <v>671</v>
      </c>
      <c r="C39" s="65" t="s">
        <v>661</v>
      </c>
      <c r="D39" s="72"/>
      <c r="E39" s="239"/>
    </row>
    <row r="40" spans="2:5" ht="94.5" hidden="1" thickBot="1">
      <c r="B40" s="36" t="s">
        <v>790</v>
      </c>
      <c r="C40" s="65" t="s">
        <v>661</v>
      </c>
      <c r="D40" s="44"/>
      <c r="E40" s="174"/>
    </row>
    <row r="41" spans="2:5" ht="63.75" hidden="1" thickBot="1">
      <c r="B41" s="67" t="s">
        <v>767</v>
      </c>
      <c r="C41" s="64" t="s">
        <v>766</v>
      </c>
      <c r="D41" s="43"/>
      <c r="E41" s="238"/>
    </row>
    <row r="42" spans="2:5" ht="32.25" hidden="1" thickBot="1">
      <c r="B42" s="67" t="s">
        <v>668</v>
      </c>
      <c r="C42" s="65" t="s">
        <v>661</v>
      </c>
      <c r="D42" s="44"/>
      <c r="E42" s="174"/>
    </row>
    <row r="43" spans="2:5" ht="16.5" hidden="1" thickBot="1">
      <c r="B43" s="67" t="s">
        <v>799</v>
      </c>
      <c r="C43" s="65" t="s">
        <v>661</v>
      </c>
      <c r="D43" s="44"/>
      <c r="E43" s="174"/>
    </row>
    <row r="44" spans="2:5" ht="52.5" hidden="1" thickBot="1">
      <c r="B44" s="67" t="s">
        <v>670</v>
      </c>
      <c r="C44" s="64" t="s">
        <v>684</v>
      </c>
      <c r="D44" s="46"/>
      <c r="E44" s="240"/>
    </row>
    <row r="45" spans="2:5" ht="63.75" hidden="1" thickBot="1">
      <c r="B45" s="68" t="s">
        <v>800</v>
      </c>
      <c r="C45" s="65" t="s">
        <v>661</v>
      </c>
      <c r="D45" s="44"/>
      <c r="E45" s="251"/>
    </row>
    <row r="46" spans="2:5" ht="16.5" thickBot="1">
      <c r="B46" s="69" t="s">
        <v>685</v>
      </c>
      <c r="C46" s="212" t="s">
        <v>817</v>
      </c>
      <c r="D46" s="43" t="s">
        <v>801</v>
      </c>
      <c r="E46" s="231">
        <v>30946.27</v>
      </c>
    </row>
    <row r="47" spans="2:5" ht="32.25" hidden="1" thickBot="1">
      <c r="B47" s="70" t="s">
        <v>802</v>
      </c>
      <c r="C47" s="47"/>
      <c r="D47" s="44"/>
      <c r="E47" s="252"/>
    </row>
    <row r="48" spans="2:5" ht="20.25" thickBot="1">
      <c r="B48" s="14" t="s">
        <v>760</v>
      </c>
      <c r="C48" s="17"/>
      <c r="E48" s="261">
        <f>E62</f>
        <v>489896.87</v>
      </c>
    </row>
    <row r="49" spans="2:5" ht="24.75" thickBot="1">
      <c r="B49" s="150" t="s">
        <v>672</v>
      </c>
      <c r="C49" s="15" t="s">
        <v>920</v>
      </c>
      <c r="D49" s="49" t="s">
        <v>673</v>
      </c>
      <c r="E49" s="176" t="s">
        <v>793</v>
      </c>
    </row>
    <row r="50" spans="2:5" ht="15.75">
      <c r="B50" s="217" t="s">
        <v>816</v>
      </c>
      <c r="C50" s="255" t="s">
        <v>661</v>
      </c>
      <c r="D50" s="149"/>
      <c r="E50" s="266">
        <f>964.32</f>
        <v>964.32</v>
      </c>
    </row>
    <row r="51" spans="2:5" ht="15.75">
      <c r="B51" s="188" t="s">
        <v>997</v>
      </c>
      <c r="C51" s="255" t="s">
        <v>661</v>
      </c>
      <c r="D51" s="154"/>
      <c r="E51" s="266">
        <f>95.08+4405.93+95.08</f>
        <v>4596.09</v>
      </c>
    </row>
    <row r="52" spans="2:5" ht="15.75">
      <c r="B52" s="188" t="s">
        <v>2</v>
      </c>
      <c r="C52" s="255" t="s">
        <v>661</v>
      </c>
      <c r="D52" s="154"/>
      <c r="E52" s="266">
        <v>6099</v>
      </c>
    </row>
    <row r="53" spans="2:5" ht="15.75">
      <c r="B53" s="188" t="s">
        <v>1000</v>
      </c>
      <c r="C53" s="255" t="s">
        <v>661</v>
      </c>
      <c r="D53" s="154"/>
      <c r="E53" s="266">
        <v>83709.5</v>
      </c>
    </row>
    <row r="54" spans="2:5" ht="14.25">
      <c r="B54" s="151" t="s">
        <v>676</v>
      </c>
      <c r="C54" s="116"/>
      <c r="D54" s="153"/>
      <c r="E54" s="177"/>
    </row>
    <row r="55" spans="2:5" ht="14.25">
      <c r="B55" s="132" t="s">
        <v>883</v>
      </c>
      <c r="C55" s="74" t="s">
        <v>661</v>
      </c>
      <c r="D55" s="153"/>
      <c r="E55" s="179">
        <f>112171.28+16871.86</f>
        <v>129043.14</v>
      </c>
    </row>
    <row r="56" spans="2:5" ht="14.25">
      <c r="B56" s="157" t="s">
        <v>880</v>
      </c>
      <c r="C56" s="74" t="s">
        <v>661</v>
      </c>
      <c r="D56" s="152"/>
      <c r="E56" s="177">
        <f>19562.2+5779</f>
        <v>25341.2</v>
      </c>
    </row>
    <row r="57" spans="2:5" ht="14.25">
      <c r="B57" s="157" t="s">
        <v>925</v>
      </c>
      <c r="C57" s="74" t="s">
        <v>661</v>
      </c>
      <c r="D57" s="152"/>
      <c r="E57" s="177">
        <f>154949.55+38119.22</f>
        <v>193068.77</v>
      </c>
    </row>
    <row r="58" spans="2:5" ht="15">
      <c r="B58" s="151" t="s">
        <v>1025</v>
      </c>
      <c r="C58" s="118"/>
      <c r="D58" s="152"/>
      <c r="E58" s="220"/>
    </row>
    <row r="59" spans="2:5" ht="14.25">
      <c r="B59" s="159" t="s">
        <v>998</v>
      </c>
      <c r="C59" s="74" t="s">
        <v>661</v>
      </c>
      <c r="D59" s="152"/>
      <c r="E59" s="177">
        <f>43635+1371.52</f>
        <v>45006.52</v>
      </c>
    </row>
    <row r="60" spans="2:5" ht="15">
      <c r="B60" s="159" t="s">
        <v>929</v>
      </c>
      <c r="C60" s="74" t="s">
        <v>661</v>
      </c>
      <c r="D60" s="13"/>
      <c r="E60" s="268">
        <v>2068.33</v>
      </c>
    </row>
    <row r="61" spans="2:5" ht="12.75" hidden="1">
      <c r="B61" s="13"/>
      <c r="C61" s="13"/>
      <c r="D61" s="13"/>
      <c r="E61" s="85"/>
    </row>
    <row r="62" spans="2:5" ht="12.75" hidden="1">
      <c r="B62" s="117" t="s">
        <v>1014</v>
      </c>
      <c r="C62" s="13"/>
      <c r="D62" s="13"/>
      <c r="E62" s="256">
        <f>E50+E55+E56+E59+E60+E57+E53+E51+E52</f>
        <v>489896.87</v>
      </c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207"/>
    </row>
    <row r="66" spans="2:5" ht="12.75">
      <c r="B66" s="103"/>
      <c r="C66" s="11"/>
      <c r="D66" s="11"/>
      <c r="E66" s="207"/>
    </row>
    <row r="67" spans="2:5" ht="15.75">
      <c r="B67" s="6" t="s">
        <v>830</v>
      </c>
      <c r="C67" s="6" t="s">
        <v>48</v>
      </c>
      <c r="E67" s="254"/>
    </row>
    <row r="70" ht="15.75">
      <c r="B70" s="7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1968503937007874" bottom="0" header="0.31496062992125984" footer="0.31496062992125984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99CC"/>
  </sheetPr>
  <dimension ref="A3:G97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334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235232.51</v>
      </c>
      <c r="D13" s="1378"/>
    </row>
    <row r="14" spans="1:4" ht="14.25">
      <c r="A14" s="471" t="s">
        <v>486</v>
      </c>
      <c r="B14" s="473"/>
      <c r="C14" s="1310">
        <v>1002956.44</v>
      </c>
      <c r="D14" s="1311"/>
    </row>
    <row r="15" spans="1:4" ht="14.25">
      <c r="A15" s="470" t="s">
        <v>647</v>
      </c>
      <c r="B15" s="474"/>
      <c r="C15" s="1312">
        <v>953580.11</v>
      </c>
      <c r="D15" s="1313"/>
    </row>
    <row r="16" spans="1:4" ht="15">
      <c r="A16" s="475" t="s">
        <v>348</v>
      </c>
      <c r="B16" s="476"/>
      <c r="C16" s="1377">
        <f>C13+C14-C15</f>
        <v>284608.83999999997</v>
      </c>
      <c r="D16" s="1378"/>
    </row>
    <row r="17" spans="1:7" ht="14.25">
      <c r="A17" s="470" t="s">
        <v>540</v>
      </c>
      <c r="B17" s="474"/>
      <c r="C17" s="1407">
        <v>1185820.59</v>
      </c>
      <c r="D17" s="1408"/>
      <c r="G17" t="s">
        <v>465</v>
      </c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188367.42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110361.23</v>
      </c>
    </row>
    <row r="27" spans="1:4" ht="24.75">
      <c r="A27" s="546" t="s">
        <v>14</v>
      </c>
      <c r="B27" s="397" t="s">
        <v>657</v>
      </c>
      <c r="C27" s="506"/>
      <c r="D27" s="507">
        <v>137965.83</v>
      </c>
    </row>
    <row r="28" spans="1:4" ht="18.75" customHeight="1">
      <c r="A28" s="492" t="s">
        <v>395</v>
      </c>
      <c r="B28" s="399"/>
      <c r="C28" s="508"/>
      <c r="D28" s="509">
        <v>20204.37</v>
      </c>
    </row>
    <row r="29" spans="1:4" ht="15.75" thickBot="1">
      <c r="A29" s="390" t="s">
        <v>799</v>
      </c>
      <c r="B29" s="609" t="s">
        <v>661</v>
      </c>
      <c r="C29" s="610"/>
      <c r="D29" s="595">
        <v>21273.99</v>
      </c>
    </row>
    <row r="30" spans="1:4" ht="15.75" thickBot="1">
      <c r="A30" s="805" t="s">
        <v>701</v>
      </c>
      <c r="B30" s="980"/>
      <c r="C30" s="981"/>
      <c r="D30" s="839">
        <v>478172.84</v>
      </c>
    </row>
    <row r="31" spans="1:4" ht="15.75" thickBot="1">
      <c r="A31" s="487" t="s">
        <v>159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515" t="s">
        <v>673</v>
      </c>
      <c r="D32" s="516" t="s">
        <v>793</v>
      </c>
    </row>
    <row r="33" spans="1:4" ht="15">
      <c r="A33" s="369" t="s">
        <v>60</v>
      </c>
      <c r="B33" s="365" t="s">
        <v>817</v>
      </c>
      <c r="C33" s="571">
        <v>1</v>
      </c>
      <c r="D33" s="578">
        <v>4321.61</v>
      </c>
    </row>
    <row r="34" spans="1:4" ht="15">
      <c r="A34" s="383" t="s">
        <v>213</v>
      </c>
      <c r="B34" s="365"/>
      <c r="C34" s="571">
        <v>2</v>
      </c>
      <c r="D34" s="578">
        <v>488.66</v>
      </c>
    </row>
    <row r="35" spans="1:4" ht="15">
      <c r="A35" s="383" t="s">
        <v>600</v>
      </c>
      <c r="B35" s="570"/>
      <c r="C35" s="571"/>
      <c r="D35" s="578">
        <v>153639.79</v>
      </c>
    </row>
    <row r="36" spans="1:4" ht="28.5">
      <c r="A36" s="546" t="s">
        <v>160</v>
      </c>
      <c r="B36" s="763"/>
      <c r="C36" s="571">
        <v>3</v>
      </c>
      <c r="D36" s="434">
        <v>2769.68</v>
      </c>
    </row>
    <row r="37" spans="1:4" ht="15">
      <c r="A37" s="675" t="s">
        <v>952</v>
      </c>
      <c r="B37" s="1242"/>
      <c r="C37" s="1243">
        <v>1</v>
      </c>
      <c r="D37" s="1064">
        <v>1126.9</v>
      </c>
    </row>
    <row r="38" spans="1:4" ht="15.75" thickBot="1">
      <c r="A38" s="390" t="s">
        <v>389</v>
      </c>
      <c r="B38" s="748"/>
      <c r="C38" s="674">
        <v>1</v>
      </c>
      <c r="D38" s="459">
        <v>158677.59</v>
      </c>
    </row>
    <row r="39" spans="1:4" ht="15.75" thickBot="1">
      <c r="A39" s="806" t="s">
        <v>701</v>
      </c>
      <c r="B39" s="811"/>
      <c r="C39" s="1013"/>
      <c r="D39" s="858">
        <v>321024.23</v>
      </c>
    </row>
    <row r="40" spans="1:4" ht="15">
      <c r="A40" s="808" t="s">
        <v>445</v>
      </c>
      <c r="B40" s="800"/>
      <c r="C40" s="377"/>
      <c r="D40" s="377"/>
    </row>
    <row r="41" spans="1:4" ht="15">
      <c r="A41" s="377" t="s">
        <v>972</v>
      </c>
      <c r="B41" s="365"/>
      <c r="C41" s="363">
        <v>1</v>
      </c>
      <c r="D41" s="425">
        <v>26603</v>
      </c>
    </row>
    <row r="42" spans="1:4" ht="15">
      <c r="A42" s="377" t="s">
        <v>239</v>
      </c>
      <c r="B42" s="365" t="s">
        <v>478</v>
      </c>
      <c r="C42" s="363">
        <v>1</v>
      </c>
      <c r="D42" s="425">
        <v>893.96</v>
      </c>
    </row>
    <row r="43" spans="1:4" ht="15">
      <c r="A43" s="359" t="s">
        <v>324</v>
      </c>
      <c r="B43" s="365" t="s">
        <v>211</v>
      </c>
      <c r="C43" s="363">
        <v>1</v>
      </c>
      <c r="D43" s="555">
        <v>1021.85</v>
      </c>
    </row>
    <row r="44" spans="1:4" ht="15.75" thickBot="1">
      <c r="A44" s="807" t="s">
        <v>455</v>
      </c>
      <c r="B44" s="934"/>
      <c r="C44" s="1014">
        <v>3</v>
      </c>
      <c r="D44" s="425">
        <v>1624.14</v>
      </c>
    </row>
    <row r="45" spans="1:4" ht="15.75" thickBot="1">
      <c r="A45" s="806" t="s">
        <v>701</v>
      </c>
      <c r="B45" s="825"/>
      <c r="C45" s="1013"/>
      <c r="D45" s="841">
        <v>30142.95</v>
      </c>
    </row>
    <row r="46" spans="1:4" ht="15">
      <c r="A46" s="808" t="s">
        <v>780</v>
      </c>
      <c r="B46" s="570"/>
      <c r="C46" s="383"/>
      <c r="D46" s="441"/>
    </row>
    <row r="47" spans="1:4" ht="15">
      <c r="A47" s="359" t="s">
        <v>235</v>
      </c>
      <c r="B47" s="677" t="s">
        <v>211</v>
      </c>
      <c r="C47" s="369">
        <v>3</v>
      </c>
      <c r="D47" s="532">
        <v>8772.04</v>
      </c>
    </row>
    <row r="48" spans="1:4" ht="15">
      <c r="A48" s="359" t="s">
        <v>174</v>
      </c>
      <c r="B48" s="365" t="s">
        <v>478</v>
      </c>
      <c r="C48" s="369">
        <v>2</v>
      </c>
      <c r="D48" s="532">
        <v>1978.75</v>
      </c>
    </row>
    <row r="49" spans="1:4" ht="15">
      <c r="A49" s="359" t="s">
        <v>197</v>
      </c>
      <c r="B49" s="365"/>
      <c r="C49" s="369">
        <v>6</v>
      </c>
      <c r="D49" s="532">
        <v>2739.5</v>
      </c>
    </row>
    <row r="50" spans="1:4" ht="15">
      <c r="A50" s="389" t="s">
        <v>161</v>
      </c>
      <c r="B50" s="746" t="s">
        <v>478</v>
      </c>
      <c r="C50" s="400">
        <v>1</v>
      </c>
      <c r="D50" s="393">
        <v>230.39</v>
      </c>
    </row>
    <row r="51" spans="1:4" ht="15.75" thickBot="1">
      <c r="A51" s="807" t="s">
        <v>303</v>
      </c>
      <c r="B51" s="758" t="s">
        <v>478</v>
      </c>
      <c r="C51" s="519">
        <v>3</v>
      </c>
      <c r="D51" s="541">
        <v>1690.86</v>
      </c>
    </row>
    <row r="52" spans="1:4" ht="15.75" thickBot="1">
      <c r="A52" s="806" t="s">
        <v>701</v>
      </c>
      <c r="B52" s="811"/>
      <c r="C52" s="1023"/>
      <c r="D52" s="1213">
        <v>15411.54</v>
      </c>
    </row>
    <row r="53" spans="1:4" ht="15">
      <c r="A53" s="808" t="s">
        <v>424</v>
      </c>
      <c r="B53" s="570"/>
      <c r="C53" s="383"/>
      <c r="D53" s="520"/>
    </row>
    <row r="54" spans="1:4" ht="14.25">
      <c r="A54" s="377" t="s">
        <v>318</v>
      </c>
      <c r="B54" s="570" t="s">
        <v>211</v>
      </c>
      <c r="C54" s="383">
        <v>2</v>
      </c>
      <c r="D54" s="520">
        <v>7075.67</v>
      </c>
    </row>
    <row r="55" spans="1:4" ht="14.25">
      <c r="A55" s="377" t="s">
        <v>221</v>
      </c>
      <c r="B55" s="570" t="s">
        <v>478</v>
      </c>
      <c r="C55" s="383">
        <v>2</v>
      </c>
      <c r="D55" s="520">
        <v>3908.68</v>
      </c>
    </row>
    <row r="56" spans="1:4" ht="15" thickBot="1">
      <c r="A56" s="799" t="s">
        <v>695</v>
      </c>
      <c r="B56" s="834"/>
      <c r="C56" s="843">
        <v>2</v>
      </c>
      <c r="D56" s="1210">
        <v>1640.54</v>
      </c>
    </row>
    <row r="57" spans="1:4" ht="15.75" thickBot="1">
      <c r="A57" s="806" t="s">
        <v>701</v>
      </c>
      <c r="B57" s="811"/>
      <c r="C57" s="1023"/>
      <c r="D57" s="1213">
        <v>12624.89</v>
      </c>
    </row>
    <row r="58" spans="1:4" ht="15">
      <c r="A58" s="808" t="s">
        <v>162</v>
      </c>
      <c r="B58" s="570"/>
      <c r="C58" s="383"/>
      <c r="D58" s="520"/>
    </row>
    <row r="59" spans="1:4" ht="14.25">
      <c r="A59" s="377" t="s">
        <v>479</v>
      </c>
      <c r="B59" s="570" t="s">
        <v>52</v>
      </c>
      <c r="C59" s="383">
        <v>5</v>
      </c>
      <c r="D59" s="520">
        <v>5400</v>
      </c>
    </row>
    <row r="60" spans="1:4" ht="14.25">
      <c r="A60" s="377" t="s">
        <v>212</v>
      </c>
      <c r="B60" s="570" t="s">
        <v>81</v>
      </c>
      <c r="C60" s="383">
        <v>2</v>
      </c>
      <c r="D60" s="520">
        <v>2217.81</v>
      </c>
    </row>
    <row r="61" spans="1:4" ht="14.25">
      <c r="A61" s="377" t="s">
        <v>163</v>
      </c>
      <c r="B61" s="570"/>
      <c r="C61" s="383">
        <v>8</v>
      </c>
      <c r="D61" s="520">
        <v>15358.86</v>
      </c>
    </row>
    <row r="62" spans="1:4" ht="15" thickBot="1">
      <c r="A62" s="799" t="s">
        <v>526</v>
      </c>
      <c r="B62" s="834" t="s">
        <v>478</v>
      </c>
      <c r="C62" s="843">
        <v>1</v>
      </c>
      <c r="D62" s="1210">
        <v>121.36</v>
      </c>
    </row>
    <row r="63" spans="1:4" ht="15.75" thickBot="1">
      <c r="A63" s="806" t="s">
        <v>701</v>
      </c>
      <c r="B63" s="811"/>
      <c r="C63" s="1023"/>
      <c r="D63" s="1213">
        <v>23098.03</v>
      </c>
    </row>
    <row r="64" spans="1:4" ht="15">
      <c r="A64" s="808" t="s">
        <v>153</v>
      </c>
      <c r="B64" s="570"/>
      <c r="C64" s="383"/>
      <c r="D64" s="520"/>
    </row>
    <row r="65" spans="1:4" ht="14.25">
      <c r="A65" s="377" t="s">
        <v>886</v>
      </c>
      <c r="B65" s="570" t="s">
        <v>478</v>
      </c>
      <c r="C65" s="383">
        <v>6</v>
      </c>
      <c r="D65" s="520">
        <v>2011.92</v>
      </c>
    </row>
    <row r="66" spans="1:4" ht="14.25">
      <c r="A66" s="377" t="s">
        <v>113</v>
      </c>
      <c r="B66" s="570" t="s">
        <v>478</v>
      </c>
      <c r="C66" s="383">
        <v>1</v>
      </c>
      <c r="D66" s="520">
        <v>285.84</v>
      </c>
    </row>
    <row r="67" spans="1:4" ht="14.25">
      <c r="A67" s="377" t="s">
        <v>692</v>
      </c>
      <c r="B67" s="570"/>
      <c r="C67" s="383">
        <v>3</v>
      </c>
      <c r="D67" s="520">
        <v>1322.28</v>
      </c>
    </row>
    <row r="68" spans="1:4" ht="14.25">
      <c r="A68" s="377" t="s">
        <v>66</v>
      </c>
      <c r="B68" s="570" t="s">
        <v>478</v>
      </c>
      <c r="C68" s="383">
        <v>1</v>
      </c>
      <c r="D68" s="520">
        <v>108.45</v>
      </c>
    </row>
    <row r="69" spans="1:4" ht="15" thickBot="1">
      <c r="A69" s="799" t="s">
        <v>589</v>
      </c>
      <c r="B69" s="834" t="s">
        <v>52</v>
      </c>
      <c r="C69" s="843">
        <v>1</v>
      </c>
      <c r="D69" s="1210">
        <v>2217.15</v>
      </c>
    </row>
    <row r="70" spans="1:4" ht="15.75" thickBot="1">
      <c r="A70" s="806" t="s">
        <v>701</v>
      </c>
      <c r="B70" s="811"/>
      <c r="C70" s="1023"/>
      <c r="D70" s="1213">
        <v>5945.64</v>
      </c>
    </row>
    <row r="71" spans="1:4" ht="14.25">
      <c r="A71" s="377"/>
      <c r="B71" s="570"/>
      <c r="C71" s="383"/>
      <c r="D71" s="520" t="s">
        <v>832</v>
      </c>
    </row>
    <row r="72" spans="1:4" ht="15" thickBot="1">
      <c r="A72" s="799"/>
      <c r="B72" s="834"/>
      <c r="C72" s="843"/>
      <c r="D72" s="1210"/>
    </row>
    <row r="73" spans="1:4" ht="15.75" thickBot="1">
      <c r="A73" s="806" t="s">
        <v>282</v>
      </c>
      <c r="B73" s="811"/>
      <c r="C73" s="1244"/>
      <c r="D73" s="1245">
        <v>408247.28</v>
      </c>
    </row>
    <row r="74" spans="1:4" ht="15">
      <c r="A74" s="377"/>
      <c r="B74" s="570"/>
      <c r="C74" s="1171"/>
      <c r="D74" s="279"/>
    </row>
    <row r="75" spans="1:4" ht="15">
      <c r="A75" s="808" t="s">
        <v>743</v>
      </c>
      <c r="B75" s="757"/>
      <c r="C75" s="369"/>
      <c r="D75" s="428">
        <v>40866.01</v>
      </c>
    </row>
    <row r="76" spans="1:4" ht="15">
      <c r="A76" s="955" t="s">
        <v>581</v>
      </c>
      <c r="B76" s="677"/>
      <c r="C76" s="369"/>
      <c r="D76" s="869">
        <v>39530.25</v>
      </c>
    </row>
    <row r="77" spans="1:4" ht="15">
      <c r="A77" s="955" t="s">
        <v>148</v>
      </c>
      <c r="B77" s="934"/>
      <c r="C77" s="519"/>
      <c r="D77" s="1039">
        <v>219004.21</v>
      </c>
    </row>
    <row r="78" spans="1:4" ht="15.75" thickBot="1">
      <c r="A78" s="574"/>
      <c r="B78" s="758"/>
      <c r="C78" s="807"/>
      <c r="D78" s="541"/>
    </row>
    <row r="79" spans="1:4" ht="15.75" thickBot="1">
      <c r="A79" s="884" t="s">
        <v>36</v>
      </c>
      <c r="B79" s="811"/>
      <c r="C79" s="1024"/>
      <c r="D79" s="858">
        <v>1185820.59</v>
      </c>
    </row>
    <row r="82" spans="1:4" ht="15">
      <c r="A82" s="370"/>
      <c r="B82" s="370"/>
      <c r="C82" s="370"/>
      <c r="D82" s="371"/>
    </row>
    <row r="83" spans="1:4" ht="15">
      <c r="A83" s="370"/>
      <c r="B83" s="370"/>
      <c r="C83" s="370"/>
      <c r="D83" s="371"/>
    </row>
    <row r="84" spans="1:4" ht="14.25">
      <c r="A84" s="764"/>
      <c r="B84" s="358"/>
      <c r="C84" s="359"/>
      <c r="D84" s="1262"/>
    </row>
    <row r="85" spans="1:4" ht="15">
      <c r="A85" s="1251" t="s">
        <v>568</v>
      </c>
      <c r="B85" s="1257"/>
      <c r="C85" s="467"/>
      <c r="D85" s="467">
        <v>0</v>
      </c>
    </row>
    <row r="86" spans="1:4" ht="15">
      <c r="A86" s="1332" t="s">
        <v>569</v>
      </c>
      <c r="B86" s="1332"/>
      <c r="C86" s="628"/>
      <c r="D86" s="608">
        <v>953580.11</v>
      </c>
    </row>
    <row r="87" spans="1:4" ht="15">
      <c r="A87" s="1332" t="s">
        <v>570</v>
      </c>
      <c r="B87" s="1332"/>
      <c r="C87" s="607"/>
      <c r="D87" s="608">
        <v>1185820.59</v>
      </c>
    </row>
    <row r="88" spans="1:4" ht="15">
      <c r="A88" s="1333" t="s">
        <v>571</v>
      </c>
      <c r="B88" s="1333"/>
      <c r="C88" s="629"/>
      <c r="D88" s="629">
        <v>232240.48</v>
      </c>
    </row>
    <row r="89" spans="1:4" ht="15">
      <c r="A89" s="1332" t="s">
        <v>179</v>
      </c>
      <c r="B89" s="1332"/>
      <c r="C89" s="1258"/>
      <c r="D89" s="630">
        <v>232240.48</v>
      </c>
    </row>
    <row r="90" spans="1:4" ht="15">
      <c r="A90" s="538"/>
      <c r="B90" s="538"/>
      <c r="C90" s="1259"/>
      <c r="D90" s="1260"/>
    </row>
    <row r="91" spans="1:4" ht="15">
      <c r="A91" s="538"/>
      <c r="B91" s="538"/>
      <c r="C91" s="1259"/>
      <c r="D91" s="1260"/>
    </row>
    <row r="92" spans="1:4" ht="15">
      <c r="A92" s="538"/>
      <c r="B92" s="538"/>
      <c r="C92" s="1259"/>
      <c r="D92" s="1260"/>
    </row>
    <row r="93" spans="1:4" ht="15">
      <c r="A93" s="538" t="s">
        <v>180</v>
      </c>
      <c r="B93" s="538"/>
      <c r="C93" s="1259" t="s">
        <v>573</v>
      </c>
      <c r="D93" s="1260"/>
    </row>
    <row r="94" spans="1:4" ht="15">
      <c r="A94" s="538"/>
      <c r="B94" s="538"/>
      <c r="C94" s="1259"/>
      <c r="D94" s="1260"/>
    </row>
    <row r="95" ht="12.75">
      <c r="A95" s="735" t="s">
        <v>357</v>
      </c>
    </row>
    <row r="96" ht="12.75">
      <c r="A96" s="735" t="s">
        <v>906</v>
      </c>
    </row>
    <row r="97" ht="12.75">
      <c r="A97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86:B86"/>
    <mergeCell ref="A87:B87"/>
    <mergeCell ref="A88:B88"/>
    <mergeCell ref="A89:B89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99CC"/>
  </sheetPr>
  <dimension ref="A3:M8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335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101084.09</v>
      </c>
      <c r="D13" s="1378"/>
    </row>
    <row r="14" spans="1:4" ht="14.25">
      <c r="A14" s="471" t="s">
        <v>486</v>
      </c>
      <c r="B14" s="473"/>
      <c r="C14" s="1310">
        <v>664824.99</v>
      </c>
      <c r="D14" s="1311"/>
    </row>
    <row r="15" spans="1:4" ht="14.25">
      <c r="A15" s="470" t="s">
        <v>647</v>
      </c>
      <c r="B15" s="474"/>
      <c r="C15" s="1312">
        <v>628283.9</v>
      </c>
      <c r="D15" s="1313"/>
    </row>
    <row r="16" spans="1:4" ht="15">
      <c r="A16" s="475" t="s">
        <v>348</v>
      </c>
      <c r="B16" s="476"/>
      <c r="C16" s="1377">
        <f>C13+C14-C15</f>
        <v>137625.17999999993</v>
      </c>
      <c r="D16" s="1378"/>
    </row>
    <row r="17" spans="1:4" ht="14.25">
      <c r="A17" s="470" t="s">
        <v>540</v>
      </c>
      <c r="B17" s="474"/>
      <c r="C17" s="1407">
        <v>733148.52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117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115792.53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67840.85</v>
      </c>
    </row>
    <row r="27" spans="1:4" ht="24.75">
      <c r="A27" s="546" t="s">
        <v>14</v>
      </c>
      <c r="B27" s="397" t="s">
        <v>657</v>
      </c>
      <c r="C27" s="506"/>
      <c r="D27" s="507">
        <v>84809.85</v>
      </c>
    </row>
    <row r="28" spans="1:4" ht="15">
      <c r="A28" s="492" t="s">
        <v>985</v>
      </c>
      <c r="B28" s="399"/>
      <c r="C28" s="508"/>
      <c r="D28" s="509">
        <v>18913.83</v>
      </c>
    </row>
    <row r="29" spans="1:4" ht="15.75" thickBot="1">
      <c r="A29" s="390" t="s">
        <v>799</v>
      </c>
      <c r="B29" s="609" t="s">
        <v>661</v>
      </c>
      <c r="C29" s="610"/>
      <c r="D29" s="595">
        <v>23179.2</v>
      </c>
    </row>
    <row r="30" spans="1:4" ht="15.75" thickBot="1">
      <c r="A30" s="805" t="s">
        <v>701</v>
      </c>
      <c r="B30" s="980"/>
      <c r="C30" s="981"/>
      <c r="D30" s="839">
        <v>310536.26</v>
      </c>
    </row>
    <row r="31" spans="1:13" ht="15.75" thickBot="1">
      <c r="A31" s="487" t="s">
        <v>120</v>
      </c>
      <c r="B31" s="461"/>
      <c r="C31" s="462"/>
      <c r="D31" s="463"/>
      <c r="M31">
        <v>0</v>
      </c>
    </row>
    <row r="32" spans="1:4" ht="24">
      <c r="A32" s="513" t="s">
        <v>672</v>
      </c>
      <c r="B32" s="514" t="s">
        <v>920</v>
      </c>
      <c r="C32" s="515" t="s">
        <v>673</v>
      </c>
      <c r="D32" s="516" t="s">
        <v>793</v>
      </c>
    </row>
    <row r="33" spans="1:4" ht="15">
      <c r="A33" s="383" t="s">
        <v>11</v>
      </c>
      <c r="B33" s="570"/>
      <c r="C33" s="443"/>
      <c r="D33" s="434">
        <v>11086.13</v>
      </c>
    </row>
    <row r="34" spans="1:4" ht="15">
      <c r="A34" s="383" t="s">
        <v>389</v>
      </c>
      <c r="B34" s="570"/>
      <c r="C34" s="443">
        <v>1</v>
      </c>
      <c r="D34" s="434">
        <v>152647.1</v>
      </c>
    </row>
    <row r="35" spans="1:4" ht="15">
      <c r="A35" s="376" t="s">
        <v>226</v>
      </c>
      <c r="B35" s="763"/>
      <c r="C35" s="443">
        <v>2</v>
      </c>
      <c r="D35" s="434">
        <v>2192.53</v>
      </c>
    </row>
    <row r="36" spans="1:4" ht="30" thickBot="1">
      <c r="A36" s="390" t="s">
        <v>164</v>
      </c>
      <c r="B36" s="748"/>
      <c r="C36" s="1299">
        <v>2</v>
      </c>
      <c r="D36" s="459">
        <v>2480.45</v>
      </c>
    </row>
    <row r="37" spans="1:4" ht="15.75" thickBot="1">
      <c r="A37" s="806" t="s">
        <v>701</v>
      </c>
      <c r="B37" s="811"/>
      <c r="C37" s="1300"/>
      <c r="D37" s="858">
        <v>168406.21</v>
      </c>
    </row>
    <row r="38" spans="1:4" ht="15">
      <c r="A38" s="808" t="s">
        <v>445</v>
      </c>
      <c r="B38" s="800"/>
      <c r="C38" s="433"/>
      <c r="D38" s="377"/>
    </row>
    <row r="39" spans="1:4" ht="15">
      <c r="A39" s="359" t="s">
        <v>972</v>
      </c>
      <c r="B39" s="677"/>
      <c r="C39" s="358">
        <v>1</v>
      </c>
      <c r="D39" s="425">
        <v>26603</v>
      </c>
    </row>
    <row r="40" spans="1:4" ht="15.75" thickBot="1">
      <c r="A40" s="807" t="s">
        <v>167</v>
      </c>
      <c r="B40" s="934">
        <v>3</v>
      </c>
      <c r="C40" s="381">
        <v>2</v>
      </c>
      <c r="D40" s="425">
        <v>1569.87</v>
      </c>
    </row>
    <row r="41" spans="1:4" ht="15.75" thickBot="1">
      <c r="A41" s="806" t="s">
        <v>701</v>
      </c>
      <c r="B41" s="825"/>
      <c r="C41" s="1021"/>
      <c r="D41" s="533">
        <v>28172.87</v>
      </c>
    </row>
    <row r="42" spans="1:4" ht="15">
      <c r="A42" s="377"/>
      <c r="B42" s="935"/>
      <c r="C42" s="382"/>
      <c r="D42" s="810"/>
    </row>
    <row r="43" spans="1:4" ht="15">
      <c r="A43" s="944" t="s">
        <v>780</v>
      </c>
      <c r="B43" s="677"/>
      <c r="C43" s="358"/>
      <c r="D43" s="425"/>
    </row>
    <row r="44" spans="1:4" ht="15">
      <c r="A44" s="359" t="s">
        <v>750</v>
      </c>
      <c r="B44" s="677"/>
      <c r="C44" s="358">
        <v>1</v>
      </c>
      <c r="D44" s="425">
        <v>6495</v>
      </c>
    </row>
    <row r="45" spans="1:4" ht="15.75" thickBot="1">
      <c r="A45" s="807" t="s">
        <v>165</v>
      </c>
      <c r="B45" s="934" t="s">
        <v>40</v>
      </c>
      <c r="C45" s="381">
        <v>1</v>
      </c>
      <c r="D45" s="425">
        <v>2813</v>
      </c>
    </row>
    <row r="46" spans="1:4" ht="15.75" thickBot="1">
      <c r="A46" s="806" t="s">
        <v>701</v>
      </c>
      <c r="B46" s="825"/>
      <c r="C46" s="1021"/>
      <c r="D46" s="533">
        <v>9308</v>
      </c>
    </row>
    <row r="47" spans="1:4" ht="15">
      <c r="A47" s="377"/>
      <c r="B47" s="935"/>
      <c r="C47" s="382"/>
      <c r="D47" s="810"/>
    </row>
    <row r="48" spans="1:4" ht="15">
      <c r="A48" s="944" t="s">
        <v>162</v>
      </c>
      <c r="B48" s="677"/>
      <c r="C48" s="358"/>
      <c r="D48" s="532"/>
    </row>
    <row r="49" spans="1:4" ht="15">
      <c r="A49" s="359" t="s">
        <v>166</v>
      </c>
      <c r="B49" s="677" t="s">
        <v>81</v>
      </c>
      <c r="C49" s="361">
        <v>1</v>
      </c>
      <c r="D49" s="532">
        <v>2104.7</v>
      </c>
    </row>
    <row r="50" spans="1:4" ht="15">
      <c r="A50" s="359" t="s">
        <v>1020</v>
      </c>
      <c r="B50" s="677" t="s">
        <v>478</v>
      </c>
      <c r="C50" s="361">
        <v>1</v>
      </c>
      <c r="D50" s="532">
        <v>4013.72</v>
      </c>
    </row>
    <row r="51" spans="1:4" ht="15">
      <c r="A51" s="359" t="s">
        <v>748</v>
      </c>
      <c r="B51" s="365" t="s">
        <v>52</v>
      </c>
      <c r="C51" s="1301">
        <v>2</v>
      </c>
      <c r="D51" s="532">
        <v>7744</v>
      </c>
    </row>
    <row r="52" spans="1:4" ht="15">
      <c r="A52" s="359" t="s">
        <v>882</v>
      </c>
      <c r="B52" s="365"/>
      <c r="C52" s="1301">
        <v>12</v>
      </c>
      <c r="D52" s="532">
        <v>15733.36</v>
      </c>
    </row>
    <row r="53" spans="1:4" ht="15" thickBot="1">
      <c r="A53" s="807" t="s">
        <v>479</v>
      </c>
      <c r="B53" s="758" t="s">
        <v>52</v>
      </c>
      <c r="C53" s="1302">
        <v>4</v>
      </c>
      <c r="D53" s="1203">
        <v>4309.25</v>
      </c>
    </row>
    <row r="54" spans="1:4" ht="15.75" thickBot="1">
      <c r="A54" s="806" t="s">
        <v>901</v>
      </c>
      <c r="B54" s="811"/>
      <c r="C54" s="1303"/>
      <c r="D54" s="1213">
        <v>33905.03</v>
      </c>
    </row>
    <row r="55" spans="1:4" ht="15">
      <c r="A55" s="808" t="s">
        <v>386</v>
      </c>
      <c r="B55" s="570"/>
      <c r="C55" s="653"/>
      <c r="D55" s="520"/>
    </row>
    <row r="56" spans="1:4" ht="15" thickBot="1">
      <c r="A56" s="807" t="s">
        <v>782</v>
      </c>
      <c r="B56" s="758"/>
      <c r="C56" s="1302">
        <v>1</v>
      </c>
      <c r="D56" s="1203">
        <v>961.21</v>
      </c>
    </row>
    <row r="57" spans="1:4" ht="15.75" thickBot="1">
      <c r="A57" s="806" t="s">
        <v>901</v>
      </c>
      <c r="B57" s="811"/>
      <c r="C57" s="1303"/>
      <c r="D57" s="1213">
        <v>961.21</v>
      </c>
    </row>
    <row r="58" spans="1:4" ht="15" thickBot="1">
      <c r="A58" s="799"/>
      <c r="B58" s="834"/>
      <c r="C58" s="843"/>
      <c r="D58" s="1210"/>
    </row>
    <row r="59" spans="1:4" ht="15.75" thickBot="1">
      <c r="A59" s="806" t="s">
        <v>282</v>
      </c>
      <c r="B59" s="811"/>
      <c r="C59" s="1023"/>
      <c r="D59" s="1213">
        <v>240753.32</v>
      </c>
    </row>
    <row r="60" spans="1:4" ht="14.25">
      <c r="A60" s="377"/>
      <c r="B60" s="570"/>
      <c r="C60" s="1247"/>
      <c r="D60" s="592"/>
    </row>
    <row r="61" spans="1:4" ht="15">
      <c r="A61" s="944" t="s">
        <v>743</v>
      </c>
      <c r="B61" s="365"/>
      <c r="C61" s="431"/>
      <c r="D61" s="1246">
        <v>25121.01</v>
      </c>
    </row>
    <row r="62" spans="1:4" ht="14.25">
      <c r="A62" s="465" t="s">
        <v>581</v>
      </c>
      <c r="B62" s="757"/>
      <c r="C62" s="369"/>
      <c r="D62" s="428">
        <v>21335.82</v>
      </c>
    </row>
    <row r="63" spans="1:4" ht="15">
      <c r="A63" s="955" t="s">
        <v>787</v>
      </c>
      <c r="B63" s="677"/>
      <c r="C63" s="369"/>
      <c r="D63" s="869">
        <v>135402.11</v>
      </c>
    </row>
    <row r="64" spans="1:4" ht="15.75" thickBot="1">
      <c r="A64" s="526"/>
      <c r="B64" s="758"/>
      <c r="C64" s="882"/>
      <c r="D64" s="541"/>
    </row>
    <row r="65" spans="1:4" ht="15.75" thickBot="1">
      <c r="A65" s="1113" t="s">
        <v>918</v>
      </c>
      <c r="B65" s="960"/>
      <c r="C65" s="961"/>
      <c r="D65" s="1248">
        <v>733148.52</v>
      </c>
    </row>
    <row r="68" spans="1:4" ht="15">
      <c r="A68" s="370"/>
      <c r="B68" s="370"/>
      <c r="C68" s="370"/>
      <c r="D68" s="371"/>
    </row>
    <row r="69" spans="1:4" ht="15">
      <c r="A69" s="370"/>
      <c r="B69" s="370"/>
      <c r="C69" s="370"/>
      <c r="D69" s="371"/>
    </row>
    <row r="70" spans="1:4" ht="14.25">
      <c r="A70" s="764"/>
      <c r="B70" s="358"/>
      <c r="C70" s="359"/>
      <c r="D70" s="1262"/>
    </row>
    <row r="71" spans="1:4" ht="15">
      <c r="A71" s="1251" t="s">
        <v>568</v>
      </c>
      <c r="B71" s="1257"/>
      <c r="C71" s="467"/>
      <c r="D71" s="467">
        <v>0</v>
      </c>
    </row>
    <row r="72" spans="1:4" ht="15">
      <c r="A72" s="1332" t="s">
        <v>569</v>
      </c>
      <c r="B72" s="1332"/>
      <c r="C72" s="628"/>
      <c r="D72" s="608">
        <v>628283.9</v>
      </c>
    </row>
    <row r="73" spans="1:4" ht="15">
      <c r="A73" s="1332" t="s">
        <v>570</v>
      </c>
      <c r="B73" s="1332"/>
      <c r="C73" s="607"/>
      <c r="D73" s="608">
        <v>733148.52</v>
      </c>
    </row>
    <row r="74" spans="1:4" ht="15">
      <c r="A74" s="1333" t="s">
        <v>571</v>
      </c>
      <c r="B74" s="1333"/>
      <c r="C74" s="629"/>
      <c r="D74" s="629">
        <v>104864.62</v>
      </c>
    </row>
    <row r="75" spans="1:4" ht="15">
      <c r="A75" s="1332" t="s">
        <v>179</v>
      </c>
      <c r="B75" s="1332"/>
      <c r="C75" s="1258"/>
      <c r="D75" s="630">
        <v>104864.62</v>
      </c>
    </row>
    <row r="76" spans="1:4" ht="15">
      <c r="A76" s="538"/>
      <c r="B76" s="538"/>
      <c r="C76" s="1259"/>
      <c r="D76" s="1260"/>
    </row>
    <row r="77" spans="1:4" ht="15">
      <c r="A77" s="538"/>
      <c r="B77" s="538"/>
      <c r="C77" s="1259"/>
      <c r="D77" s="1260"/>
    </row>
    <row r="78" spans="1:4" ht="15">
      <c r="A78" s="538"/>
      <c r="B78" s="538"/>
      <c r="C78" s="1259"/>
      <c r="D78" s="1260"/>
    </row>
    <row r="79" spans="1:4" ht="15">
      <c r="A79" s="538" t="s">
        <v>180</v>
      </c>
      <c r="B79" s="538"/>
      <c r="C79" s="1259" t="s">
        <v>573</v>
      </c>
      <c r="D79" s="1260"/>
    </row>
    <row r="80" spans="1:4" ht="15">
      <c r="A80" s="538"/>
      <c r="B80" s="538"/>
      <c r="C80" s="1259"/>
      <c r="D80" s="1260"/>
    </row>
    <row r="81" ht="12.75">
      <c r="A81" s="735" t="s">
        <v>357</v>
      </c>
    </row>
    <row r="82" ht="12.75">
      <c r="A82" s="735" t="s">
        <v>906</v>
      </c>
    </row>
    <row r="83" ht="12.75">
      <c r="A83" s="735" t="s">
        <v>358</v>
      </c>
    </row>
  </sheetData>
  <sheetProtection/>
  <mergeCells count="18">
    <mergeCell ref="A21:D21"/>
    <mergeCell ref="A9:B9"/>
    <mergeCell ref="A11:B12"/>
    <mergeCell ref="C11:D12"/>
    <mergeCell ref="A20:D20"/>
    <mergeCell ref="C13:D13"/>
    <mergeCell ref="C17:D17"/>
    <mergeCell ref="C16:D16"/>
    <mergeCell ref="C15:D15"/>
    <mergeCell ref="C14:D14"/>
    <mergeCell ref="A4:B4"/>
    <mergeCell ref="A5:B5"/>
    <mergeCell ref="A6:B6"/>
    <mergeCell ref="A7:B7"/>
    <mergeCell ref="A72:B72"/>
    <mergeCell ref="A73:B73"/>
    <mergeCell ref="A74:B74"/>
    <mergeCell ref="A75:B75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CC"/>
  </sheetPr>
  <dimension ref="A1:H94"/>
  <sheetViews>
    <sheetView zoomScalePageLayoutView="0" workbookViewId="0" topLeftCell="A2">
      <selection activeCell="C19" sqref="C19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8" max="8" width="10.57421875" style="0" customWidth="1"/>
  </cols>
  <sheetData>
    <row r="1" spans="1:4" ht="15" hidden="1">
      <c r="A1" s="162" t="s">
        <v>821</v>
      </c>
      <c r="B1" s="163"/>
      <c r="C1" s="164"/>
      <c r="D1" s="343" t="e">
        <f>SUM(#REF!)</f>
        <v>#REF!</v>
      </c>
    </row>
    <row r="4" ht="12.75">
      <c r="D4" s="1" t="s">
        <v>792</v>
      </c>
    </row>
    <row r="5" spans="1:4" ht="22.5">
      <c r="A5" s="1331" t="s">
        <v>687</v>
      </c>
      <c r="B5" s="1331"/>
      <c r="C5" s="140"/>
      <c r="D5" s="140"/>
    </row>
    <row r="6" spans="1:4" ht="15.75">
      <c r="A6" s="1363" t="s">
        <v>497</v>
      </c>
      <c r="B6" s="1363"/>
      <c r="C6" s="91"/>
      <c r="D6" s="91"/>
    </row>
    <row r="7" spans="1:4" ht="15.75">
      <c r="A7" s="1363" t="s">
        <v>641</v>
      </c>
      <c r="B7" s="1363"/>
      <c r="C7" s="91"/>
      <c r="D7" s="91"/>
    </row>
    <row r="8" spans="1:4" ht="15.75">
      <c r="A8" s="1363" t="s">
        <v>804</v>
      </c>
      <c r="B8" s="1363"/>
      <c r="C8" s="91"/>
      <c r="D8" s="91"/>
    </row>
    <row r="9" spans="1:3" ht="15" customHeight="1">
      <c r="A9" s="26"/>
      <c r="B9" s="26"/>
      <c r="C9"/>
    </row>
    <row r="10" spans="1:4" ht="15">
      <c r="A10" s="1343" t="s">
        <v>549</v>
      </c>
      <c r="B10" s="1343"/>
      <c r="C10" s="139"/>
      <c r="D10" s="139"/>
    </row>
    <row r="11" spans="1:4" ht="15">
      <c r="A11" s="324"/>
      <c r="B11" s="324"/>
      <c r="C11" s="139"/>
      <c r="D11" s="139"/>
    </row>
    <row r="12" spans="1:4" ht="12.75" customHeight="1">
      <c r="A12" s="1366" t="s">
        <v>642</v>
      </c>
      <c r="B12" s="1367"/>
      <c r="C12" s="1366" t="s">
        <v>488</v>
      </c>
      <c r="D12" s="1367"/>
    </row>
    <row r="13" spans="1:4" ht="12.75">
      <c r="A13" s="1368"/>
      <c r="B13" s="1369"/>
      <c r="C13" s="1368"/>
      <c r="D13" s="1369"/>
    </row>
    <row r="14" spans="1:4" ht="15">
      <c r="A14" s="372" t="s">
        <v>347</v>
      </c>
      <c r="B14" s="472"/>
      <c r="C14" s="1370">
        <v>189341.53</v>
      </c>
      <c r="D14" s="1371"/>
    </row>
    <row r="15" spans="1:4" ht="15">
      <c r="A15" s="471" t="s">
        <v>486</v>
      </c>
      <c r="B15" s="473"/>
      <c r="C15" s="1336">
        <v>901222.04</v>
      </c>
      <c r="D15" s="1337"/>
    </row>
    <row r="16" spans="1:4" ht="15">
      <c r="A16" s="470" t="s">
        <v>647</v>
      </c>
      <c r="B16" s="474"/>
      <c r="C16" s="1338">
        <v>882662.31</v>
      </c>
      <c r="D16" s="1339"/>
    </row>
    <row r="17" spans="1:8" ht="15">
      <c r="A17" s="475" t="s">
        <v>348</v>
      </c>
      <c r="B17" s="476"/>
      <c r="C17" s="1318">
        <f>C14+C15-C16</f>
        <v>207901.26</v>
      </c>
      <c r="D17" s="1319"/>
      <c r="G17" t="s">
        <v>465</v>
      </c>
      <c r="H17" s="624"/>
    </row>
    <row r="18" spans="1:8" ht="14.25">
      <c r="A18" s="470" t="s">
        <v>539</v>
      </c>
      <c r="B18" s="474"/>
      <c r="C18" s="1334">
        <v>839597.24</v>
      </c>
      <c r="D18" s="1335"/>
      <c r="H18" s="624"/>
    </row>
    <row r="19" spans="1:4" ht="12.75">
      <c r="A19" s="82"/>
      <c r="B19" s="83"/>
      <c r="C19" s="83"/>
      <c r="D19" s="83"/>
    </row>
    <row r="20" spans="2:4" ht="12.75">
      <c r="B20" s="83"/>
      <c r="C20" s="81"/>
      <c r="D20" s="314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6.25" thickBot="1">
      <c r="A24" s="501" t="s">
        <v>892</v>
      </c>
      <c r="B24" s="502" t="s">
        <v>667</v>
      </c>
      <c r="C24" s="499" t="s">
        <v>673</v>
      </c>
      <c r="D24" s="503" t="s">
        <v>793</v>
      </c>
    </row>
    <row r="25" spans="1:4" ht="16.5" thickBot="1">
      <c r="A25" s="477" t="s">
        <v>913</v>
      </c>
      <c r="B25" s="455"/>
      <c r="C25" s="456"/>
      <c r="D25" s="468"/>
    </row>
    <row r="26" spans="1:4" ht="26.25">
      <c r="A26" s="546" t="s">
        <v>105</v>
      </c>
      <c r="B26" s="637" t="s">
        <v>652</v>
      </c>
      <c r="C26" s="536"/>
      <c r="D26" s="528">
        <v>184035.24</v>
      </c>
    </row>
    <row r="27" spans="1:4" ht="15">
      <c r="A27" s="492" t="s">
        <v>654</v>
      </c>
      <c r="B27" s="398" t="s">
        <v>656</v>
      </c>
      <c r="C27" s="398" t="s">
        <v>801</v>
      </c>
      <c r="D27" s="509">
        <v>107823.08</v>
      </c>
    </row>
    <row r="28" spans="1:4" ht="15">
      <c r="A28" s="546" t="s">
        <v>757</v>
      </c>
      <c r="B28" s="397"/>
      <c r="C28" s="506"/>
      <c r="D28" s="507">
        <v>16386.99</v>
      </c>
    </row>
    <row r="29" spans="1:4" ht="24.75">
      <c r="A29" s="492" t="s">
        <v>14</v>
      </c>
      <c r="B29" s="399" t="s">
        <v>657</v>
      </c>
      <c r="C29" s="508"/>
      <c r="D29" s="509">
        <v>134792.81</v>
      </c>
    </row>
    <row r="30" spans="1:4" ht="15">
      <c r="A30" s="492" t="s">
        <v>19</v>
      </c>
      <c r="B30" s="399"/>
      <c r="C30" s="508"/>
      <c r="D30" s="509">
        <v>25661.05</v>
      </c>
    </row>
    <row r="31" spans="1:4" ht="15.75" thickBot="1">
      <c r="A31" s="413" t="s">
        <v>705</v>
      </c>
      <c r="B31" s="490" t="s">
        <v>661</v>
      </c>
      <c r="C31" s="458"/>
      <c r="D31" s="618">
        <v>3073.2</v>
      </c>
    </row>
    <row r="32" spans="1:4" ht="15.75" thickBot="1">
      <c r="A32" s="805" t="s">
        <v>701</v>
      </c>
      <c r="B32" s="412"/>
      <c r="C32" s="956"/>
      <c r="D32" s="839">
        <v>471772.37</v>
      </c>
    </row>
    <row r="33" spans="1:4" ht="15.75" thickBot="1">
      <c r="A33" s="487" t="s">
        <v>914</v>
      </c>
      <c r="B33" s="461"/>
      <c r="C33" s="462"/>
      <c r="D33" s="463"/>
    </row>
    <row r="34" spans="1:4" ht="15">
      <c r="A34" s="513" t="s">
        <v>733</v>
      </c>
      <c r="B34" s="514" t="s">
        <v>920</v>
      </c>
      <c r="C34" s="515" t="s">
        <v>673</v>
      </c>
      <c r="D34" s="516"/>
    </row>
    <row r="35" spans="1:4" ht="15">
      <c r="A35" s="359" t="s">
        <v>365</v>
      </c>
      <c r="B35" s="365" t="s">
        <v>817</v>
      </c>
      <c r="C35" s="622">
        <v>4</v>
      </c>
      <c r="D35" s="623">
        <v>19466.98</v>
      </c>
    </row>
    <row r="36" spans="1:4" ht="28.5">
      <c r="A36" s="389" t="s">
        <v>737</v>
      </c>
      <c r="B36" s="762"/>
      <c r="C36" s="622"/>
      <c r="D36" s="623">
        <v>2192.98</v>
      </c>
    </row>
    <row r="37" spans="1:4" ht="15">
      <c r="A37" s="359" t="s">
        <v>213</v>
      </c>
      <c r="B37" s="762"/>
      <c r="C37" s="421">
        <v>1</v>
      </c>
      <c r="D37" s="532">
        <v>311.39</v>
      </c>
    </row>
    <row r="38" spans="1:4" ht="16.5" thickBot="1">
      <c r="A38" s="942" t="s">
        <v>595</v>
      </c>
      <c r="B38" s="758"/>
      <c r="C38" s="616">
        <v>3</v>
      </c>
      <c r="D38" s="541">
        <v>71721.8</v>
      </c>
    </row>
    <row r="39" spans="1:4" ht="15.75" thickBot="1">
      <c r="A39" s="823" t="s">
        <v>701</v>
      </c>
      <c r="B39" s="953"/>
      <c r="C39" s="803"/>
      <c r="D39" s="858">
        <v>93693.15</v>
      </c>
    </row>
    <row r="40" spans="1:4" ht="15">
      <c r="A40" s="943" t="s">
        <v>359</v>
      </c>
      <c r="B40" s="365"/>
      <c r="C40" s="441"/>
      <c r="D40" s="598"/>
    </row>
    <row r="41" spans="1:4" ht="15">
      <c r="A41" s="383" t="s">
        <v>366</v>
      </c>
      <c r="B41" s="365" t="s">
        <v>478</v>
      </c>
      <c r="C41" s="900">
        <v>4</v>
      </c>
      <c r="D41" s="598">
        <v>1103.57</v>
      </c>
    </row>
    <row r="42" spans="1:4" ht="15">
      <c r="A42" s="383" t="s">
        <v>367</v>
      </c>
      <c r="B42" s="365" t="s">
        <v>478</v>
      </c>
      <c r="C42" s="900">
        <v>6</v>
      </c>
      <c r="D42" s="598">
        <v>5623.86</v>
      </c>
    </row>
    <row r="43" spans="1:4" ht="15">
      <c r="A43" s="383" t="s">
        <v>741</v>
      </c>
      <c r="B43" s="365"/>
      <c r="C43" s="900">
        <v>5</v>
      </c>
      <c r="D43" s="598">
        <v>2146.74</v>
      </c>
    </row>
    <row r="44" spans="1:4" ht="15.75" thickBot="1">
      <c r="A44" s="369" t="s">
        <v>235</v>
      </c>
      <c r="B44" s="365" t="s">
        <v>211</v>
      </c>
      <c r="C44" s="900">
        <v>3</v>
      </c>
      <c r="D44" s="598">
        <v>8107.11</v>
      </c>
    </row>
    <row r="45" spans="1:4" ht="15.75" thickBot="1">
      <c r="A45" s="823" t="s">
        <v>701</v>
      </c>
      <c r="B45" s="860"/>
      <c r="C45" s="1279"/>
      <c r="D45" s="863">
        <v>16981.28</v>
      </c>
    </row>
    <row r="46" spans="1:4" ht="15">
      <c r="A46" s="465" t="s">
        <v>360</v>
      </c>
      <c r="B46" s="800"/>
      <c r="C46" s="441"/>
      <c r="D46" s="441"/>
    </row>
    <row r="47" spans="1:4" ht="15">
      <c r="A47" s="377" t="s">
        <v>370</v>
      </c>
      <c r="B47" s="800" t="s">
        <v>478</v>
      </c>
      <c r="C47" s="441">
        <v>2</v>
      </c>
      <c r="D47" s="801">
        <v>1587.38</v>
      </c>
    </row>
    <row r="48" spans="1:4" ht="15">
      <c r="A48" s="377" t="s">
        <v>364</v>
      </c>
      <c r="B48" s="365"/>
      <c r="C48" s="421">
        <v>3</v>
      </c>
      <c r="D48" s="422">
        <v>26603</v>
      </c>
    </row>
    <row r="49" spans="1:4" ht="15">
      <c r="A49" s="377" t="s">
        <v>371</v>
      </c>
      <c r="B49" s="365"/>
      <c r="C49" s="421">
        <v>7</v>
      </c>
      <c r="D49" s="422">
        <v>2932.14</v>
      </c>
    </row>
    <row r="50" spans="1:4" ht="15">
      <c r="A50" s="377" t="s">
        <v>64</v>
      </c>
      <c r="B50" s="365" t="s">
        <v>328</v>
      </c>
      <c r="C50" s="421">
        <v>3</v>
      </c>
      <c r="D50" s="422">
        <v>2077.17</v>
      </c>
    </row>
    <row r="51" spans="1:4" ht="15">
      <c r="A51" s="377" t="s">
        <v>368</v>
      </c>
      <c r="B51" s="365" t="s">
        <v>111</v>
      </c>
      <c r="C51" s="421">
        <v>2</v>
      </c>
      <c r="D51" s="422">
        <v>679.55</v>
      </c>
    </row>
    <row r="52" spans="1:4" ht="15.75" thickBot="1">
      <c r="A52" s="807" t="s">
        <v>369</v>
      </c>
      <c r="B52" s="758" t="s">
        <v>478</v>
      </c>
      <c r="C52" s="439">
        <v>3</v>
      </c>
      <c r="D52" s="425">
        <v>2765.38</v>
      </c>
    </row>
    <row r="53" spans="1:4" ht="16.5" thickBot="1">
      <c r="A53" s="829" t="s">
        <v>701</v>
      </c>
      <c r="B53" s="811"/>
      <c r="C53" s="803"/>
      <c r="D53" s="533">
        <v>36644.62</v>
      </c>
    </row>
    <row r="54" spans="1:4" ht="15">
      <c r="A54" s="808" t="s">
        <v>361</v>
      </c>
      <c r="B54" s="945"/>
      <c r="C54" s="946">
        <v>1</v>
      </c>
      <c r="D54" s="947"/>
    </row>
    <row r="55" spans="1:4" ht="15">
      <c r="A55" s="359" t="s">
        <v>882</v>
      </c>
      <c r="B55" s="666"/>
      <c r="C55" s="423">
        <v>7</v>
      </c>
      <c r="D55" s="422">
        <v>3369.29</v>
      </c>
    </row>
    <row r="56" spans="1:4" ht="15">
      <c r="A56" s="359" t="s">
        <v>479</v>
      </c>
      <c r="B56" s="666" t="s">
        <v>52</v>
      </c>
      <c r="C56" s="423">
        <v>3</v>
      </c>
      <c r="D56" s="424">
        <v>2816.18</v>
      </c>
    </row>
    <row r="57" spans="1:4" ht="15">
      <c r="A57" s="359" t="s">
        <v>212</v>
      </c>
      <c r="B57" s="666" t="s">
        <v>478</v>
      </c>
      <c r="C57" s="423">
        <v>1</v>
      </c>
      <c r="D57" s="425">
        <v>625.61</v>
      </c>
    </row>
    <row r="58" spans="1:4" ht="15.75" thickBot="1">
      <c r="A58" s="807" t="s">
        <v>64</v>
      </c>
      <c r="B58" s="758" t="s">
        <v>328</v>
      </c>
      <c r="C58" s="439">
        <v>1</v>
      </c>
      <c r="D58" s="424"/>
    </row>
    <row r="59" spans="1:4" ht="15.75" thickBot="1">
      <c r="A59" s="806" t="s">
        <v>701</v>
      </c>
      <c r="B59" s="811"/>
      <c r="C59" s="803"/>
      <c r="D59" s="841">
        <v>6811.08</v>
      </c>
    </row>
    <row r="60" spans="1:4" ht="15">
      <c r="A60" s="808" t="s">
        <v>362</v>
      </c>
      <c r="B60" s="570"/>
      <c r="C60" s="441"/>
      <c r="D60" s="810"/>
    </row>
    <row r="61" spans="1:4" ht="15">
      <c r="A61" s="359" t="s">
        <v>713</v>
      </c>
      <c r="B61" s="365"/>
      <c r="C61" s="421">
        <v>2</v>
      </c>
      <c r="D61" s="425">
        <v>744.16</v>
      </c>
    </row>
    <row r="62" spans="1:4" ht="15">
      <c r="A62" s="359"/>
      <c r="B62" s="365"/>
      <c r="C62" s="421"/>
      <c r="D62" s="424"/>
    </row>
    <row r="63" spans="1:4" ht="15.75" thickBot="1">
      <c r="A63" s="807"/>
      <c r="B63" s="758"/>
      <c r="C63" s="948"/>
      <c r="D63" s="881"/>
    </row>
    <row r="64" spans="1:4" ht="15.75" thickBot="1">
      <c r="A64" s="806" t="s">
        <v>701</v>
      </c>
      <c r="B64" s="811"/>
      <c r="C64" s="898"/>
      <c r="D64" s="533">
        <v>744.16</v>
      </c>
    </row>
    <row r="65" spans="1:4" ht="15">
      <c r="A65" s="465" t="s">
        <v>721</v>
      </c>
      <c r="B65" s="763"/>
      <c r="C65" s="900"/>
      <c r="D65" s="877"/>
    </row>
    <row r="66" spans="1:4" ht="15">
      <c r="A66" s="377" t="s">
        <v>886</v>
      </c>
      <c r="B66" s="945" t="s">
        <v>40</v>
      </c>
      <c r="C66" s="900">
        <v>6</v>
      </c>
      <c r="D66" s="441">
        <v>2216.05</v>
      </c>
    </row>
    <row r="67" spans="1:4" ht="15">
      <c r="A67" s="377" t="s">
        <v>542</v>
      </c>
      <c r="B67" s="945" t="s">
        <v>372</v>
      </c>
      <c r="C67" s="900">
        <v>1</v>
      </c>
      <c r="D67" s="441">
        <v>100.88</v>
      </c>
    </row>
    <row r="68" spans="1:4" ht="15.75" thickBot="1">
      <c r="A68" s="799" t="s">
        <v>692</v>
      </c>
      <c r="B68" s="621"/>
      <c r="C68" s="846">
        <v>3</v>
      </c>
      <c r="D68" s="836">
        <v>1030.25</v>
      </c>
    </row>
    <row r="69" spans="1:4" ht="15.75" thickBot="1">
      <c r="A69" s="879" t="s">
        <v>701</v>
      </c>
      <c r="B69" s="950"/>
      <c r="C69" s="951"/>
      <c r="D69" s="859">
        <v>3347.18</v>
      </c>
    </row>
    <row r="70" spans="1:4" ht="15.75" thickBot="1">
      <c r="A70" s="806" t="s">
        <v>363</v>
      </c>
      <c r="B70" s="906"/>
      <c r="C70" s="803"/>
      <c r="D70" s="863">
        <v>158221.47</v>
      </c>
    </row>
    <row r="71" spans="1:4" ht="15.75" thickBot="1">
      <c r="A71" s="837" t="s">
        <v>743</v>
      </c>
      <c r="B71" s="949"/>
      <c r="C71" s="907"/>
      <c r="D71" s="863">
        <v>39926.15</v>
      </c>
    </row>
    <row r="72" spans="1:4" ht="15.75" thickBot="1">
      <c r="A72" s="837" t="s">
        <v>904</v>
      </c>
      <c r="B72" s="825"/>
      <c r="C72" s="907"/>
      <c r="D72" s="858">
        <v>14615.57</v>
      </c>
    </row>
    <row r="73" spans="1:4" ht="15">
      <c r="A73" s="952" t="s">
        <v>735</v>
      </c>
      <c r="B73" s="953"/>
      <c r="C73" s="951"/>
      <c r="D73" s="1059">
        <v>155061.68</v>
      </c>
    </row>
    <row r="74" spans="1:4" ht="15.75" thickBot="1">
      <c r="A74" s="937"/>
      <c r="B74" s="758"/>
      <c r="C74" s="439"/>
      <c r="D74" s="541"/>
    </row>
    <row r="75" spans="1:4" ht="15.75" thickBot="1">
      <c r="A75" s="806" t="s">
        <v>36</v>
      </c>
      <c r="B75" s="811"/>
      <c r="C75" s="907"/>
      <c r="D75" s="863">
        <v>839597.24</v>
      </c>
    </row>
    <row r="76" spans="1:4" ht="15">
      <c r="A76" s="370"/>
      <c r="B76" s="370"/>
      <c r="C76" s="370"/>
      <c r="D76" s="371"/>
    </row>
    <row r="77" spans="1:4" ht="15">
      <c r="A77" s="370"/>
      <c r="B77" s="370"/>
      <c r="C77" s="370"/>
      <c r="D77" s="371"/>
    </row>
    <row r="78" spans="1:4" ht="15">
      <c r="A78" s="370"/>
      <c r="B78" s="370"/>
      <c r="C78" s="370"/>
      <c r="D78" s="371"/>
    </row>
    <row r="79" spans="1:4" ht="15">
      <c r="A79" s="71"/>
      <c r="B79" s="11"/>
      <c r="C79" s="11"/>
      <c r="D79" s="11"/>
    </row>
    <row r="80" spans="1:4" ht="12.75">
      <c r="A80" s="1353"/>
      <c r="B80" s="1354"/>
      <c r="C80" s="374"/>
      <c r="D80" s="442"/>
    </row>
    <row r="81" spans="1:4" ht="12.75">
      <c r="A81" s="1355"/>
      <c r="B81" s="1356"/>
      <c r="C81" s="559"/>
      <c r="D81" s="559"/>
    </row>
    <row r="82" spans="1:4" ht="15">
      <c r="A82" s="1251" t="s">
        <v>568</v>
      </c>
      <c r="B82" s="1257"/>
      <c r="C82" s="467"/>
      <c r="D82" s="467">
        <v>0</v>
      </c>
    </row>
    <row r="83" spans="1:4" ht="15">
      <c r="A83" s="1332" t="s">
        <v>569</v>
      </c>
      <c r="B83" s="1332"/>
      <c r="C83" s="628"/>
      <c r="D83" s="608">
        <v>882662.31</v>
      </c>
    </row>
    <row r="84" spans="1:4" ht="15">
      <c r="A84" s="1332" t="s">
        <v>570</v>
      </c>
      <c r="B84" s="1332"/>
      <c r="C84" s="607"/>
      <c r="D84" s="608">
        <v>839597.24</v>
      </c>
    </row>
    <row r="85" spans="1:4" ht="15">
      <c r="A85" s="1333" t="s">
        <v>571</v>
      </c>
      <c r="B85" s="1333"/>
      <c r="C85" s="629"/>
      <c r="D85" s="629">
        <v>-43065.07</v>
      </c>
    </row>
    <row r="86" spans="1:4" ht="15">
      <c r="A86" s="1332" t="s">
        <v>179</v>
      </c>
      <c r="B86" s="1332"/>
      <c r="C86" s="1258"/>
      <c r="D86" s="630">
        <v>-43065.07</v>
      </c>
    </row>
    <row r="87" spans="1:4" ht="15">
      <c r="A87" s="538"/>
      <c r="B87" s="538"/>
      <c r="C87" s="1259"/>
      <c r="D87" s="1260"/>
    </row>
    <row r="88" spans="1:4" ht="15">
      <c r="A88" s="538"/>
      <c r="B88" s="538"/>
      <c r="C88" s="1259"/>
      <c r="D88" s="1260"/>
    </row>
    <row r="89" spans="1:4" ht="15">
      <c r="A89" s="538"/>
      <c r="B89" s="538"/>
      <c r="C89" s="1259"/>
      <c r="D89" s="1260"/>
    </row>
    <row r="90" spans="1:4" ht="15">
      <c r="A90" s="538" t="s">
        <v>180</v>
      </c>
      <c r="B90" s="538"/>
      <c r="C90" s="1259" t="s">
        <v>573</v>
      </c>
      <c r="D90" s="1260"/>
    </row>
    <row r="91" spans="1:4" ht="15">
      <c r="A91" s="538"/>
      <c r="B91" s="538"/>
      <c r="C91" s="1259"/>
      <c r="D91" s="1260"/>
    </row>
    <row r="93" ht="12.75">
      <c r="A93" s="735" t="s">
        <v>906</v>
      </c>
    </row>
    <row r="94" ht="12.75">
      <c r="A94" s="735" t="s">
        <v>358</v>
      </c>
    </row>
  </sheetData>
  <sheetProtection/>
  <mergeCells count="19">
    <mergeCell ref="A86:B86"/>
    <mergeCell ref="A80:B81"/>
    <mergeCell ref="A83:B83"/>
    <mergeCell ref="A84:B84"/>
    <mergeCell ref="A85:B85"/>
    <mergeCell ref="A10:B10"/>
    <mergeCell ref="A12:B13"/>
    <mergeCell ref="A5:B5"/>
    <mergeCell ref="A6:B6"/>
    <mergeCell ref="A7:B7"/>
    <mergeCell ref="A8:B8"/>
    <mergeCell ref="C12:D13"/>
    <mergeCell ref="C14:D14"/>
    <mergeCell ref="A21:D21"/>
    <mergeCell ref="A22:D22"/>
    <mergeCell ref="C15:D15"/>
    <mergeCell ref="C16:D16"/>
    <mergeCell ref="C17:D17"/>
    <mergeCell ref="C18:D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">
      <selection activeCell="A15" sqref="A15:B16"/>
    </sheetView>
  </sheetViews>
  <sheetFormatPr defaultColWidth="9.140625" defaultRowHeight="12.75"/>
  <cols>
    <col min="1" max="1" width="60.140625" style="1" customWidth="1"/>
    <col min="2" max="2" width="11.421875" style="1" customWidth="1"/>
    <col min="3" max="3" width="16.28125" style="1" customWidth="1"/>
    <col min="4" max="4" width="15.140625" style="1" customWidth="1"/>
    <col min="5" max="5" width="10.8515625" style="0" bestFit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7.5" customHeight="1">
      <c r="A6" s="26"/>
      <c r="B6" s="26"/>
      <c r="C6"/>
    </row>
    <row r="7" spans="1:4" ht="15">
      <c r="A7" s="1343" t="s">
        <v>941</v>
      </c>
      <c r="B7" s="1343"/>
      <c r="C7" s="139"/>
      <c r="D7" s="139"/>
    </row>
    <row r="8" spans="1:3" ht="8.25" customHeight="1" thickBot="1">
      <c r="A8" s="4"/>
      <c r="B8"/>
      <c r="C8"/>
    </row>
    <row r="9" spans="1:4" ht="25.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1001.59+365028.05</f>
        <v>366029.64</v>
      </c>
      <c r="D11" s="136">
        <v>34778.26</v>
      </c>
    </row>
    <row r="12" spans="1:4" ht="15.75" thickBot="1">
      <c r="A12" s="1341" t="s">
        <v>646</v>
      </c>
      <c r="B12" s="1342"/>
      <c r="C12" s="137">
        <f>6270.4+2842854.36</f>
        <v>2849124.76</v>
      </c>
      <c r="D12" s="136">
        <v>62484.52</v>
      </c>
    </row>
    <row r="13" spans="1:4" ht="15.75" thickBot="1">
      <c r="A13" s="1341" t="s">
        <v>647</v>
      </c>
      <c r="B13" s="1342"/>
      <c r="C13" s="135">
        <f>7240.09+2838228.48</f>
        <v>2845468.57</v>
      </c>
      <c r="D13" s="136">
        <v>104476.35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72687.96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369685.8300000001</v>
      </c>
      <c r="D17" s="136">
        <f>D11+D12-D13</f>
        <v>-7213.570000000007</v>
      </c>
    </row>
    <row r="18" spans="1:4" ht="15.75" thickBot="1">
      <c r="A18" s="1341" t="s">
        <v>806</v>
      </c>
      <c r="B18" s="1342"/>
      <c r="C18" s="170">
        <f>D24+D48</f>
        <v>2682810.2</v>
      </c>
      <c r="D18" s="138"/>
    </row>
    <row r="19" spans="2:3" ht="8.25" customHeight="1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7.5" customHeight="1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D25+D26+D27+D28+D29+D30</f>
        <v>1052048.52</v>
      </c>
    </row>
    <row r="25" spans="1:4" ht="26.25" thickBot="1">
      <c r="A25" s="166" t="s">
        <v>662</v>
      </c>
      <c r="B25" s="64" t="s">
        <v>652</v>
      </c>
      <c r="C25" s="45"/>
      <c r="D25" s="171">
        <v>439527.22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203030.48</v>
      </c>
    </row>
    <row r="27" spans="1:4" ht="25.5" thickBot="1">
      <c r="A27" s="133" t="s">
        <v>658</v>
      </c>
      <c r="B27" s="168" t="s">
        <v>657</v>
      </c>
      <c r="C27" s="145"/>
      <c r="D27" s="171">
        <v>236451.28</v>
      </c>
    </row>
    <row r="28" spans="1:4" ht="15.75" thickBot="1">
      <c r="A28" s="133" t="s">
        <v>799</v>
      </c>
      <c r="B28" s="181" t="s">
        <v>661</v>
      </c>
      <c r="C28" s="182"/>
      <c r="D28" s="183">
        <v>128000</v>
      </c>
    </row>
    <row r="29" spans="1:4" ht="15.75" thickBot="1">
      <c r="A29" s="133" t="s">
        <v>879</v>
      </c>
      <c r="B29" s="181" t="s">
        <v>661</v>
      </c>
      <c r="C29" s="182"/>
      <c r="D29" s="183">
        <v>620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44419.54</v>
      </c>
    </row>
    <row r="31" spans="1:4" ht="15.75" thickBot="1">
      <c r="A31" s="148" t="s">
        <v>760</v>
      </c>
      <c r="B31" s="149"/>
      <c r="C31" s="139"/>
      <c r="D31" s="175">
        <f>D33+D34+D35+D37+D38+D39+D40+D42+D43+D44+D45</f>
        <v>682404.78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f>27914.7+20345.52</f>
        <v>48260.22</v>
      </c>
    </row>
    <row r="34" spans="1:4" ht="14.25">
      <c r="A34" s="188" t="s">
        <v>930</v>
      </c>
      <c r="B34" s="74" t="s">
        <v>661</v>
      </c>
      <c r="C34" s="153"/>
      <c r="D34" s="177">
        <f>575.72+548.12+3236.71</f>
        <v>4360.55</v>
      </c>
    </row>
    <row r="35" spans="1:4" ht="14.25">
      <c r="A35" s="188" t="s">
        <v>990</v>
      </c>
      <c r="B35" s="74" t="s">
        <v>661</v>
      </c>
      <c r="C35" s="153"/>
      <c r="D35" s="177">
        <v>207957.48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v>14721.17</v>
      </c>
    </row>
    <row r="38" spans="1:4" ht="14.25">
      <c r="A38" s="132" t="s">
        <v>883</v>
      </c>
      <c r="B38" s="74" t="s">
        <v>661</v>
      </c>
      <c r="C38" s="153"/>
      <c r="D38" s="179">
        <f>139105.55+36836.79</f>
        <v>175942.34</v>
      </c>
    </row>
    <row r="39" spans="1:4" ht="14.25">
      <c r="A39" s="157" t="s">
        <v>880</v>
      </c>
      <c r="B39" s="74" t="s">
        <v>661</v>
      </c>
      <c r="C39" s="153"/>
      <c r="D39" s="179">
        <f>25388.88+4341.28</f>
        <v>29730.16</v>
      </c>
    </row>
    <row r="40" spans="1:4" ht="14.25">
      <c r="A40" s="157" t="s">
        <v>925</v>
      </c>
      <c r="B40" s="74" t="s">
        <v>661</v>
      </c>
      <c r="C40" s="153"/>
      <c r="D40" s="180">
        <f>102937.77+15535.76</f>
        <v>118473.53</v>
      </c>
    </row>
    <row r="41" spans="1:4" ht="15">
      <c r="A41" s="151" t="s">
        <v>682</v>
      </c>
      <c r="B41" s="118"/>
      <c r="C41" s="153"/>
      <c r="D41" s="191"/>
    </row>
    <row r="42" spans="1:4" ht="14.25">
      <c r="A42" s="159" t="s">
        <v>884</v>
      </c>
      <c r="B42" s="74" t="s">
        <v>661</v>
      </c>
      <c r="C42" s="153"/>
      <c r="D42" s="192">
        <v>1287.55</v>
      </c>
    </row>
    <row r="43" spans="1:4" ht="14.25">
      <c r="A43" s="159" t="s">
        <v>886</v>
      </c>
      <c r="B43" s="74" t="s">
        <v>661</v>
      </c>
      <c r="C43" s="153"/>
      <c r="D43" s="192">
        <v>18854.14</v>
      </c>
    </row>
    <row r="44" spans="1:4" ht="14.25">
      <c r="A44" s="159" t="s">
        <v>888</v>
      </c>
      <c r="B44" s="74" t="s">
        <v>661</v>
      </c>
      <c r="C44" s="153"/>
      <c r="D44" s="192">
        <f>3556.59+162.03+26.38+2712+2324.68+1778.87+1770.96+458.27+42605.61+4469.07</f>
        <v>59864.46</v>
      </c>
    </row>
    <row r="45" spans="1:4" ht="14.25">
      <c r="A45" s="159" t="s">
        <v>929</v>
      </c>
      <c r="B45" s="74" t="s">
        <v>661</v>
      </c>
      <c r="C45" s="152"/>
      <c r="D45" s="192">
        <v>2953.18</v>
      </c>
    </row>
    <row r="46" spans="1:4" ht="15">
      <c r="A46" s="162" t="s">
        <v>991</v>
      </c>
      <c r="B46" s="74" t="s">
        <v>661</v>
      </c>
      <c r="C46" s="152"/>
      <c r="D46" s="192">
        <v>874692.43</v>
      </c>
    </row>
    <row r="47" spans="1:4" ht="15">
      <c r="A47" s="162" t="s">
        <v>992</v>
      </c>
      <c r="B47" s="74" t="s">
        <v>661</v>
      </c>
      <c r="C47" s="152"/>
      <c r="D47" s="192">
        <v>73664.47</v>
      </c>
    </row>
    <row r="48" spans="1:4" ht="15" hidden="1">
      <c r="A48" s="162" t="s">
        <v>821</v>
      </c>
      <c r="B48" s="163"/>
      <c r="C48" s="164"/>
      <c r="D48" s="165">
        <f>SUM(D33:D47)</f>
        <v>1630761.68</v>
      </c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4" ht="15">
      <c r="A52" s="71"/>
      <c r="B52" s="11"/>
      <c r="C52" s="11"/>
      <c r="D52" s="11"/>
    </row>
    <row r="53" spans="1:3" ht="15.75">
      <c r="A53" s="187" t="s">
        <v>921</v>
      </c>
      <c r="B53" s="187"/>
      <c r="C53" s="187" t="s">
        <v>889</v>
      </c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60" ht="15.75">
      <c r="A60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CC"/>
  </sheetPr>
  <dimension ref="A2:H10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10.57421875" style="0" hidden="1" customWidth="1"/>
    <col min="6" max="7" width="0" style="0" hidden="1" customWidth="1"/>
    <col min="9" max="9" width="10.7109375" style="0" customWidth="1"/>
    <col min="12" max="12" width="10.421875" style="0" customWidth="1"/>
  </cols>
  <sheetData>
    <row r="2" ht="15.75">
      <c r="A2" s="7"/>
    </row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0.5" customHeight="1">
      <c r="A8" s="26"/>
      <c r="B8" s="26"/>
      <c r="C8"/>
    </row>
    <row r="9" spans="1:4" ht="15">
      <c r="A9" s="1343" t="s">
        <v>101</v>
      </c>
      <c r="B9" s="1343"/>
      <c r="C9" s="139"/>
      <c r="D9" s="139"/>
    </row>
    <row r="10" spans="1:4" ht="13.5" customHeight="1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0">
        <v>447360.95</v>
      </c>
      <c r="D13" s="1371"/>
    </row>
    <row r="14" spans="1:4" ht="15">
      <c r="A14" s="471" t="s">
        <v>486</v>
      </c>
      <c r="B14" s="473"/>
      <c r="C14" s="1336">
        <v>2801703.37</v>
      </c>
      <c r="D14" s="1337"/>
    </row>
    <row r="15" spans="1:4" ht="15">
      <c r="A15" s="470" t="s">
        <v>647</v>
      </c>
      <c r="B15" s="474"/>
      <c r="C15" s="1338">
        <v>2783028.76</v>
      </c>
      <c r="D15" s="1339"/>
    </row>
    <row r="16" spans="1:8" ht="15">
      <c r="A16" s="475" t="s">
        <v>348</v>
      </c>
      <c r="B16" s="476"/>
      <c r="C16" s="1318">
        <f>C13+C14-C15</f>
        <v>466035.5600000005</v>
      </c>
      <c r="D16" s="1319"/>
      <c r="G16" t="s">
        <v>465</v>
      </c>
      <c r="H16" t="s">
        <v>465</v>
      </c>
    </row>
    <row r="17" spans="1:4" ht="14.25">
      <c r="A17" s="470" t="s">
        <v>539</v>
      </c>
      <c r="B17" s="474"/>
      <c r="C17" s="1334">
        <v>1902704.16</v>
      </c>
      <c r="D17" s="1335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455"/>
      <c r="C24" s="456"/>
      <c r="D24" s="468"/>
    </row>
    <row r="25" spans="1:4" ht="24.75" customHeight="1">
      <c r="A25" s="546" t="s">
        <v>105</v>
      </c>
      <c r="B25" s="637" t="s">
        <v>652</v>
      </c>
      <c r="C25" s="536"/>
      <c r="D25" s="528">
        <v>336855.03</v>
      </c>
    </row>
    <row r="26" spans="1:4" ht="15">
      <c r="A26" s="389" t="s">
        <v>377</v>
      </c>
      <c r="B26" s="399"/>
      <c r="C26" s="392"/>
      <c r="D26" s="393">
        <v>20405.38</v>
      </c>
    </row>
    <row r="27" spans="1:4" ht="24.75">
      <c r="A27" s="546" t="s">
        <v>58</v>
      </c>
      <c r="B27" s="399" t="s">
        <v>652</v>
      </c>
      <c r="C27" s="392"/>
      <c r="D27" s="393">
        <v>159688</v>
      </c>
    </row>
    <row r="28" spans="1:4" ht="15">
      <c r="A28" s="492" t="s">
        <v>654</v>
      </c>
      <c r="B28" s="398" t="s">
        <v>656</v>
      </c>
      <c r="C28" s="398" t="s">
        <v>801</v>
      </c>
      <c r="D28" s="509">
        <v>184290.57</v>
      </c>
    </row>
    <row r="29" spans="1:4" ht="24.75">
      <c r="A29" s="546" t="s">
        <v>14</v>
      </c>
      <c r="B29" s="397" t="s">
        <v>657</v>
      </c>
      <c r="C29" s="506"/>
      <c r="D29" s="507">
        <v>205384.49</v>
      </c>
    </row>
    <row r="30" spans="1:4" ht="15">
      <c r="A30" s="492" t="s">
        <v>705</v>
      </c>
      <c r="B30" s="399" t="s">
        <v>661</v>
      </c>
      <c r="C30" s="508"/>
      <c r="D30" s="509">
        <v>1529.2</v>
      </c>
    </row>
    <row r="31" spans="1:4" ht="15">
      <c r="A31" s="492" t="s">
        <v>1017</v>
      </c>
      <c r="B31" s="398" t="s">
        <v>102</v>
      </c>
      <c r="C31" s="392"/>
      <c r="D31" s="393">
        <v>215116.2</v>
      </c>
    </row>
    <row r="32" spans="1:4" ht="15.75" thickBot="1">
      <c r="A32" s="390" t="s">
        <v>19</v>
      </c>
      <c r="B32" s="979"/>
      <c r="C32" s="674"/>
      <c r="D32" s="459">
        <v>18463.21</v>
      </c>
    </row>
    <row r="33" spans="1:4" ht="15.75" thickBot="1">
      <c r="A33" s="805" t="s">
        <v>701</v>
      </c>
      <c r="B33" s="980"/>
      <c r="C33" s="981"/>
      <c r="D33" s="839">
        <v>1141732.08</v>
      </c>
    </row>
    <row r="34" spans="1:4" ht="15.75" thickBot="1">
      <c r="A34" s="487" t="s">
        <v>373</v>
      </c>
      <c r="B34" s="461"/>
      <c r="C34" s="462"/>
      <c r="D34" s="463"/>
    </row>
    <row r="35" spans="1:4" ht="15">
      <c r="A35" s="513" t="s">
        <v>733</v>
      </c>
      <c r="B35" s="514" t="s">
        <v>920</v>
      </c>
      <c r="C35" s="515" t="s">
        <v>673</v>
      </c>
      <c r="D35" s="516"/>
    </row>
    <row r="36" spans="1:4" ht="15">
      <c r="A36" s="383" t="s">
        <v>855</v>
      </c>
      <c r="B36" s="433" t="s">
        <v>856</v>
      </c>
      <c r="C36" s="443">
        <v>0.08</v>
      </c>
      <c r="D36" s="434">
        <v>6492</v>
      </c>
    </row>
    <row r="37" spans="1:4" ht="15">
      <c r="A37" s="383" t="s">
        <v>145</v>
      </c>
      <c r="B37" s="433"/>
      <c r="C37" s="443">
        <v>1</v>
      </c>
      <c r="D37" s="434">
        <v>353.14</v>
      </c>
    </row>
    <row r="38" spans="1:4" ht="15">
      <c r="A38" s="359" t="s">
        <v>724</v>
      </c>
      <c r="B38" s="358" t="s">
        <v>817</v>
      </c>
      <c r="C38" s="622"/>
      <c r="D38" s="623">
        <v>37000.05</v>
      </c>
    </row>
    <row r="39" spans="1:4" ht="15">
      <c r="A39" s="359" t="s">
        <v>857</v>
      </c>
      <c r="B39" s="544"/>
      <c r="C39" s="622">
        <v>1</v>
      </c>
      <c r="D39" s="623">
        <v>2491.18</v>
      </c>
    </row>
    <row r="40" spans="1:4" ht="15">
      <c r="A40" s="359" t="s">
        <v>60</v>
      </c>
      <c r="B40" s="544" t="s">
        <v>40</v>
      </c>
      <c r="C40" s="421">
        <v>5</v>
      </c>
      <c r="D40" s="532">
        <v>49268.59</v>
      </c>
    </row>
    <row r="41" spans="1:4" ht="15.75">
      <c r="A41" s="547" t="s">
        <v>380</v>
      </c>
      <c r="B41" s="358" t="s">
        <v>40</v>
      </c>
      <c r="C41" s="615">
        <v>1</v>
      </c>
      <c r="D41" s="532">
        <v>6431.17</v>
      </c>
    </row>
    <row r="42" spans="1:4" ht="15.75">
      <c r="A42" s="547" t="s">
        <v>381</v>
      </c>
      <c r="B42" s="358" t="s">
        <v>40</v>
      </c>
      <c r="C42" s="615">
        <v>1</v>
      </c>
      <c r="D42" s="532">
        <v>3528.61</v>
      </c>
    </row>
    <row r="43" spans="1:4" ht="15.75" thickBot="1">
      <c r="A43" s="843" t="s">
        <v>379</v>
      </c>
      <c r="B43" s="381" t="s">
        <v>40</v>
      </c>
      <c r="C43" s="439">
        <v>1</v>
      </c>
      <c r="D43" s="541">
        <v>599</v>
      </c>
    </row>
    <row r="44" spans="1:4" ht="15.75" thickBot="1">
      <c r="A44" s="823" t="s">
        <v>901</v>
      </c>
      <c r="B44" s="957"/>
      <c r="C44" s="803"/>
      <c r="D44" s="858">
        <v>106163.74</v>
      </c>
    </row>
    <row r="45" spans="1:4" ht="15">
      <c r="A45" s="545" t="s">
        <v>21</v>
      </c>
      <c r="B45" s="362"/>
      <c r="C45" s="421"/>
      <c r="D45" s="421"/>
    </row>
    <row r="46" spans="1:4" ht="15">
      <c r="A46" s="359" t="s">
        <v>75</v>
      </c>
      <c r="B46" s="358" t="s">
        <v>211</v>
      </c>
      <c r="C46" s="421">
        <v>3</v>
      </c>
      <c r="D46" s="555">
        <v>9531.9</v>
      </c>
    </row>
    <row r="47" spans="1:4" ht="15">
      <c r="A47" s="359" t="s">
        <v>174</v>
      </c>
      <c r="B47" s="361" t="s">
        <v>40</v>
      </c>
      <c r="C47" s="423">
        <v>6</v>
      </c>
      <c r="D47" s="555">
        <v>6222.06</v>
      </c>
    </row>
    <row r="48" spans="1:4" ht="15">
      <c r="A48" s="359" t="s">
        <v>513</v>
      </c>
      <c r="B48" s="361" t="s">
        <v>40</v>
      </c>
      <c r="C48" s="423">
        <v>1</v>
      </c>
      <c r="D48" s="425">
        <v>663.25</v>
      </c>
    </row>
    <row r="49" spans="1:4" ht="15">
      <c r="A49" s="359" t="s">
        <v>727</v>
      </c>
      <c r="B49" s="358" t="s">
        <v>40</v>
      </c>
      <c r="C49" s="423">
        <v>10</v>
      </c>
      <c r="D49" s="424">
        <v>7956.14</v>
      </c>
    </row>
    <row r="50" spans="1:4" ht="15.75" thickBot="1">
      <c r="A50" s="807" t="s">
        <v>545</v>
      </c>
      <c r="B50" s="381" t="s">
        <v>40</v>
      </c>
      <c r="C50" s="809">
        <v>3</v>
      </c>
      <c r="D50" s="424">
        <v>1038.39</v>
      </c>
    </row>
    <row r="51" spans="1:4" ht="15.75" thickBot="1">
      <c r="A51" s="806" t="s">
        <v>701</v>
      </c>
      <c r="B51" s="957"/>
      <c r="C51" s="812"/>
      <c r="D51" s="841">
        <v>25411.74</v>
      </c>
    </row>
    <row r="52" spans="1:4" ht="15">
      <c r="A52" s="808" t="s">
        <v>23</v>
      </c>
      <c r="B52" s="760"/>
      <c r="C52" s="441"/>
      <c r="D52" s="810"/>
    </row>
    <row r="53" spans="1:4" ht="15">
      <c r="A53" s="177" t="s">
        <v>704</v>
      </c>
      <c r="B53" s="320" t="s">
        <v>40</v>
      </c>
      <c r="C53" s="421">
        <v>2</v>
      </c>
      <c r="D53" s="425">
        <v>1020.6</v>
      </c>
    </row>
    <row r="54" spans="1:4" ht="15">
      <c r="A54" s="177" t="s">
        <v>324</v>
      </c>
      <c r="B54" s="320" t="s">
        <v>211</v>
      </c>
      <c r="C54" s="421">
        <v>2</v>
      </c>
      <c r="D54" s="425">
        <v>12777.09</v>
      </c>
    </row>
    <row r="55" spans="1:4" ht="15">
      <c r="A55" s="359" t="s">
        <v>385</v>
      </c>
      <c r="B55" s="358" t="s">
        <v>40</v>
      </c>
      <c r="C55" s="421">
        <v>1</v>
      </c>
      <c r="D55" s="425">
        <v>5175.75</v>
      </c>
    </row>
    <row r="56" spans="1:4" ht="15">
      <c r="A56" s="359" t="s">
        <v>378</v>
      </c>
      <c r="B56" s="364"/>
      <c r="C56" s="421"/>
      <c r="D56" s="424">
        <v>26603</v>
      </c>
    </row>
    <row r="57" spans="1:4" ht="15">
      <c r="A57" s="807" t="s">
        <v>858</v>
      </c>
      <c r="B57" s="978"/>
      <c r="C57" s="439">
        <v>2</v>
      </c>
      <c r="D57" s="424">
        <v>41998</v>
      </c>
    </row>
    <row r="58" spans="1:4" ht="15">
      <c r="A58" s="807" t="s">
        <v>382</v>
      </c>
      <c r="B58" s="978"/>
      <c r="C58" s="439">
        <v>25</v>
      </c>
      <c r="D58" s="424">
        <v>27338.41</v>
      </c>
    </row>
    <row r="59" spans="1:4" ht="15.75" thickBot="1">
      <c r="A59" s="807" t="s">
        <v>384</v>
      </c>
      <c r="B59" s="381" t="s">
        <v>40</v>
      </c>
      <c r="C59" s="439">
        <v>7</v>
      </c>
      <c r="D59" s="424">
        <v>9982.47</v>
      </c>
    </row>
    <row r="60" spans="1:5" ht="16.5" thickBot="1">
      <c r="A60" s="829" t="s">
        <v>701</v>
      </c>
      <c r="B60" s="960"/>
      <c r="C60" s="961"/>
      <c r="D60" s="823">
        <v>124895.32</v>
      </c>
      <c r="E60" s="615"/>
    </row>
    <row r="61" spans="1:5" ht="15.75">
      <c r="A61" s="864"/>
      <c r="B61" s="279"/>
      <c r="C61" s="279"/>
      <c r="D61" s="382"/>
      <c r="E61" s="661"/>
    </row>
    <row r="62" spans="1:4" ht="15">
      <c r="A62" s="808" t="s">
        <v>361</v>
      </c>
      <c r="B62" s="382" t="s">
        <v>661</v>
      </c>
      <c r="C62" s="958"/>
      <c r="D62" s="959"/>
    </row>
    <row r="63" spans="1:4" ht="15">
      <c r="A63" s="377" t="s">
        <v>212</v>
      </c>
      <c r="B63" s="382" t="s">
        <v>81</v>
      </c>
      <c r="C63" s="962">
        <v>3</v>
      </c>
      <c r="D63" s="959">
        <v>7402.04</v>
      </c>
    </row>
    <row r="64" spans="1:4" ht="15">
      <c r="A64" s="377" t="s">
        <v>479</v>
      </c>
      <c r="B64" s="382" t="s">
        <v>52</v>
      </c>
      <c r="C64" s="962">
        <v>3</v>
      </c>
      <c r="D64" s="959">
        <v>5861.45</v>
      </c>
    </row>
    <row r="65" spans="1:4" ht="15.75" thickBot="1">
      <c r="A65" s="799" t="s">
        <v>882</v>
      </c>
      <c r="B65" s="964"/>
      <c r="C65" s="965">
        <v>15</v>
      </c>
      <c r="D65" s="966">
        <v>22180.28</v>
      </c>
    </row>
    <row r="66" spans="1:4" ht="15.75" thickBot="1">
      <c r="A66" s="894" t="s">
        <v>701</v>
      </c>
      <c r="B66" s="957"/>
      <c r="C66" s="968"/>
      <c r="D66" s="892">
        <v>35443.77</v>
      </c>
    </row>
    <row r="67" spans="1:4" ht="15">
      <c r="A67" s="808" t="s">
        <v>362</v>
      </c>
      <c r="B67" s="382"/>
      <c r="C67" s="958"/>
      <c r="D67" s="959"/>
    </row>
    <row r="68" spans="1:4" ht="15">
      <c r="A68" s="359" t="s">
        <v>318</v>
      </c>
      <c r="B68" s="358" t="s">
        <v>211</v>
      </c>
      <c r="C68" s="599">
        <v>1</v>
      </c>
      <c r="D68" s="426">
        <v>1502.26</v>
      </c>
    </row>
    <row r="69" spans="1:4" ht="15">
      <c r="A69" s="359" t="s">
        <v>740</v>
      </c>
      <c r="B69" s="358" t="s">
        <v>40</v>
      </c>
      <c r="C69" s="599">
        <v>2</v>
      </c>
      <c r="D69" s="426">
        <v>3229.18</v>
      </c>
    </row>
    <row r="70" spans="1:4" ht="15.75" thickBot="1">
      <c r="A70" s="359" t="s">
        <v>383</v>
      </c>
      <c r="B70" s="358"/>
      <c r="C70" s="599">
        <v>5</v>
      </c>
      <c r="D70" s="426">
        <v>3194.51</v>
      </c>
    </row>
    <row r="71" spans="1:4" ht="15.75" thickBot="1">
      <c r="A71" s="806" t="s">
        <v>701</v>
      </c>
      <c r="B71" s="957"/>
      <c r="C71" s="971"/>
      <c r="D71" s="892">
        <v>7925.95</v>
      </c>
    </row>
    <row r="72" spans="1:4" ht="15">
      <c r="A72" s="465" t="s">
        <v>721</v>
      </c>
      <c r="B72" s="967"/>
      <c r="C72" s="900"/>
      <c r="D72" s="877"/>
    </row>
    <row r="73" spans="1:4" ht="15">
      <c r="A73" s="387" t="s">
        <v>886</v>
      </c>
      <c r="B73" s="358" t="s">
        <v>40</v>
      </c>
      <c r="C73" s="427">
        <v>11</v>
      </c>
      <c r="D73" s="532">
        <v>6132.954</v>
      </c>
    </row>
    <row r="74" spans="1:4" ht="15">
      <c r="A74" s="574" t="s">
        <v>415</v>
      </c>
      <c r="B74" s="381" t="s">
        <v>532</v>
      </c>
      <c r="C74" s="616">
        <v>3</v>
      </c>
      <c r="D74" s="541">
        <v>596.02</v>
      </c>
    </row>
    <row r="75" spans="1:4" ht="15">
      <c r="A75" s="574" t="s">
        <v>692</v>
      </c>
      <c r="B75" s="381"/>
      <c r="C75" s="616">
        <v>3</v>
      </c>
      <c r="D75" s="541">
        <v>3923.67</v>
      </c>
    </row>
    <row r="76" spans="1:4" ht="15.75" thickBot="1">
      <c r="A76" s="574" t="s">
        <v>542</v>
      </c>
      <c r="B76" s="381" t="s">
        <v>52</v>
      </c>
      <c r="C76" s="616">
        <v>22</v>
      </c>
      <c r="D76" s="541">
        <v>14465.21</v>
      </c>
    </row>
    <row r="77" spans="1:4" ht="15.75" thickBot="1">
      <c r="A77" s="806" t="s">
        <v>701</v>
      </c>
      <c r="B77" s="957"/>
      <c r="C77" s="550"/>
      <c r="D77" s="858">
        <v>25117.85</v>
      </c>
    </row>
    <row r="78" spans="1:4" ht="15.75" thickBot="1">
      <c r="A78" s="837" t="s">
        <v>375</v>
      </c>
      <c r="B78" s="957"/>
      <c r="C78" s="550"/>
      <c r="D78" s="858">
        <v>324958.37</v>
      </c>
    </row>
    <row r="79" spans="1:4" ht="15.75" thickBot="1">
      <c r="A79" s="837" t="s">
        <v>374</v>
      </c>
      <c r="B79" s="957"/>
      <c r="C79" s="550"/>
      <c r="D79" s="858">
        <v>60835.15</v>
      </c>
    </row>
    <row r="80" spans="1:4" ht="15.75" thickBot="1">
      <c r="A80" s="837" t="s">
        <v>376</v>
      </c>
      <c r="B80" s="957"/>
      <c r="C80" s="550"/>
      <c r="D80" s="858">
        <v>23802.7</v>
      </c>
    </row>
    <row r="81" spans="1:4" ht="15">
      <c r="A81" s="952" t="s">
        <v>735</v>
      </c>
      <c r="B81" s="974"/>
      <c r="C81" s="831"/>
      <c r="D81" s="1059">
        <v>351375.86</v>
      </c>
    </row>
    <row r="82" spans="1:4" ht="15">
      <c r="A82" s="955"/>
      <c r="B82" s="358"/>
      <c r="C82" s="421"/>
      <c r="D82" s="532"/>
    </row>
    <row r="83" spans="1:4" ht="15.75" thickBot="1">
      <c r="A83" s="975" t="s">
        <v>36</v>
      </c>
      <c r="B83" s="976"/>
      <c r="C83" s="977"/>
      <c r="D83" s="1041">
        <v>1902704.16</v>
      </c>
    </row>
    <row r="84" spans="1:4" ht="15">
      <c r="A84" s="370"/>
      <c r="B84" s="370"/>
      <c r="C84" s="370"/>
      <c r="D84" s="371"/>
    </row>
    <row r="85" spans="1:4" ht="15">
      <c r="A85" s="370"/>
      <c r="B85" s="370"/>
      <c r="C85" s="370"/>
      <c r="D85" s="371"/>
    </row>
    <row r="86" spans="1:4" ht="15">
      <c r="A86" s="370"/>
      <c r="B86" s="370"/>
      <c r="C86" s="370"/>
      <c r="D86" s="371"/>
    </row>
    <row r="87" spans="1:4" ht="12.75">
      <c r="A87" s="1353"/>
      <c r="B87" s="1354"/>
      <c r="C87" s="374"/>
      <c r="D87" s="442"/>
    </row>
    <row r="88" spans="1:4" ht="12.75">
      <c r="A88" s="1355"/>
      <c r="B88" s="1356"/>
      <c r="C88" s="559"/>
      <c r="D88" s="559"/>
    </row>
    <row r="89" spans="1:4" ht="15">
      <c r="A89" s="1251" t="s">
        <v>568</v>
      </c>
      <c r="B89" s="1257"/>
      <c r="C89" s="467"/>
      <c r="D89" s="467">
        <v>0</v>
      </c>
    </row>
    <row r="90" spans="1:4" ht="15">
      <c r="A90" s="1332" t="s">
        <v>569</v>
      </c>
      <c r="B90" s="1332"/>
      <c r="C90" s="628"/>
      <c r="D90" s="608">
        <v>2783028.76</v>
      </c>
    </row>
    <row r="91" spans="1:4" ht="15">
      <c r="A91" s="1332" t="s">
        <v>570</v>
      </c>
      <c r="B91" s="1332"/>
      <c r="C91" s="607"/>
      <c r="D91" s="608">
        <v>1902704.16</v>
      </c>
    </row>
    <row r="92" spans="1:4" ht="15">
      <c r="A92" s="1333" t="s">
        <v>571</v>
      </c>
      <c r="B92" s="1333"/>
      <c r="C92" s="629"/>
      <c r="D92" s="629">
        <v>-880324.6</v>
      </c>
    </row>
    <row r="93" spans="1:4" ht="15">
      <c r="A93" s="1332" t="s">
        <v>179</v>
      </c>
      <c r="B93" s="1332"/>
      <c r="C93" s="1258"/>
      <c r="D93" s="630">
        <v>-880324.6</v>
      </c>
    </row>
    <row r="96" ht="12.75">
      <c r="A96" s="690"/>
    </row>
    <row r="97" spans="1:3" ht="12.75">
      <c r="A97" s="1" t="s">
        <v>181</v>
      </c>
      <c r="C97" s="1" t="s">
        <v>573</v>
      </c>
    </row>
    <row r="98" spans="1:4" ht="22.5">
      <c r="A98" s="1331"/>
      <c r="B98" s="1331"/>
      <c r="C98" s="140"/>
      <c r="D98" s="140"/>
    </row>
    <row r="100" ht="12.75">
      <c r="A100" s="1" t="s">
        <v>841</v>
      </c>
    </row>
    <row r="101" ht="12.75">
      <c r="A101" s="1" t="s">
        <v>906</v>
      </c>
    </row>
    <row r="102" ht="12.75">
      <c r="A102" s="1" t="s">
        <v>840</v>
      </c>
    </row>
  </sheetData>
  <sheetProtection/>
  <mergeCells count="20">
    <mergeCell ref="A90:B90"/>
    <mergeCell ref="A91:B91"/>
    <mergeCell ref="A92:B92"/>
    <mergeCell ref="A93:B93"/>
    <mergeCell ref="A9:B9"/>
    <mergeCell ref="A11:B12"/>
    <mergeCell ref="A4:B4"/>
    <mergeCell ref="A5:B5"/>
    <mergeCell ref="A6:B6"/>
    <mergeCell ref="A7:B7"/>
    <mergeCell ref="A98:B98"/>
    <mergeCell ref="C11:D12"/>
    <mergeCell ref="C13:D13"/>
    <mergeCell ref="A20:D20"/>
    <mergeCell ref="A21:D21"/>
    <mergeCell ref="C14:D14"/>
    <mergeCell ref="C15:D15"/>
    <mergeCell ref="C16:D16"/>
    <mergeCell ref="C17:D17"/>
    <mergeCell ref="A87:B88"/>
  </mergeCells>
  <printOptions/>
  <pageMargins left="0.1968503937007874" right="0" top="0.3937007874015748" bottom="0.15748031496062992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6384"/>
    </sheetView>
  </sheetViews>
  <sheetFormatPr defaultColWidth="9.140625" defaultRowHeight="12.75"/>
  <cols>
    <col min="1" max="1" width="60.140625" style="1" customWidth="1"/>
    <col min="2" max="2" width="11.421875" style="1" customWidth="1"/>
    <col min="3" max="3" width="15.42187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942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1733.98+460295.92</f>
        <v>462029.89999999997</v>
      </c>
      <c r="D11" s="136">
        <v>18439.31</v>
      </c>
    </row>
    <row r="12" spans="1:4" ht="15.75" thickBot="1">
      <c r="A12" s="1341" t="s">
        <v>646</v>
      </c>
      <c r="B12" s="1342"/>
      <c r="C12" s="137">
        <f>7019.04+2922744.46</f>
        <v>2929763.5</v>
      </c>
      <c r="D12" s="136">
        <v>48866.12</v>
      </c>
    </row>
    <row r="13" spans="1:4" ht="15.75" thickBot="1">
      <c r="A13" s="1341" t="s">
        <v>647</v>
      </c>
      <c r="B13" s="1342"/>
      <c r="C13" s="135">
        <f>8345.7+2978727.93</f>
        <v>2987073.6300000004</v>
      </c>
      <c r="D13" s="136">
        <v>66527.6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53481.36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404719.76999999955</v>
      </c>
      <c r="D17" s="136">
        <f>D11+D12-D13</f>
        <v>777.8300000000017</v>
      </c>
    </row>
    <row r="18" spans="1:4" ht="15.75" thickBot="1">
      <c r="A18" s="1341" t="s">
        <v>806</v>
      </c>
      <c r="B18" s="1342"/>
      <c r="C18" s="170">
        <f>D24+D49</f>
        <v>2378576.8600000003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D25+D26+D27+D28+D29+D30</f>
        <v>1033799.7200000001</v>
      </c>
    </row>
    <row r="25" spans="1:4" ht="26.25" thickBot="1">
      <c r="A25" s="166" t="s">
        <v>662</v>
      </c>
      <c r="B25" s="64" t="s">
        <v>652</v>
      </c>
      <c r="C25" s="45"/>
      <c r="D25" s="171">
        <v>461420.32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217936.25</v>
      </c>
    </row>
    <row r="27" spans="1:4" ht="25.5" thickBot="1">
      <c r="A27" s="133" t="s">
        <v>658</v>
      </c>
      <c r="B27" s="168" t="s">
        <v>657</v>
      </c>
      <c r="C27" s="145"/>
      <c r="D27" s="171">
        <v>235993.4</v>
      </c>
    </row>
    <row r="28" spans="1:4" ht="15.75" thickBot="1">
      <c r="A28" s="133" t="s">
        <v>799</v>
      </c>
      <c r="B28" s="181" t="s">
        <v>661</v>
      </c>
      <c r="C28" s="182"/>
      <c r="D28" s="183">
        <v>73000</v>
      </c>
    </row>
    <row r="29" spans="1:4" ht="15.75" thickBot="1">
      <c r="A29" s="133" t="s">
        <v>879</v>
      </c>
      <c r="B29" s="181" t="s">
        <v>661</v>
      </c>
      <c r="C29" s="182"/>
      <c r="D29" s="183">
        <v>620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44829.75</v>
      </c>
    </row>
    <row r="31" spans="1:4" ht="15.75" thickBot="1">
      <c r="A31" s="148" t="s">
        <v>760</v>
      </c>
      <c r="B31" s="149"/>
      <c r="C31" s="139"/>
      <c r="D31" s="194">
        <f>D33+D34+D35+D37+D38+D39+D40+D43+D44+D45+D46+D47</f>
        <v>1313437.4500000002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v>1002.16</v>
      </c>
    </row>
    <row r="34" spans="1:4" ht="14.25">
      <c r="A34" s="188" t="s">
        <v>928</v>
      </c>
      <c r="B34" s="74" t="s">
        <v>661</v>
      </c>
      <c r="C34" s="153"/>
      <c r="D34" s="177">
        <f>2270.6</f>
        <v>2270.6</v>
      </c>
    </row>
    <row r="35" spans="1:4" ht="14.25">
      <c r="A35" s="188" t="s">
        <v>930</v>
      </c>
      <c r="B35" s="74" t="s">
        <v>661</v>
      </c>
      <c r="C35" s="153"/>
      <c r="D35" s="177">
        <v>18752.79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f>10232.09+647.23</f>
        <v>10879.32</v>
      </c>
    </row>
    <row r="38" spans="1:4" ht="14.25">
      <c r="A38" s="132" t="s">
        <v>883</v>
      </c>
      <c r="B38" s="74" t="s">
        <v>661</v>
      </c>
      <c r="C38" s="153"/>
      <c r="D38" s="179">
        <f>109697.72+951.12</f>
        <v>110648.84</v>
      </c>
    </row>
    <row r="39" spans="1:4" ht="14.25">
      <c r="A39" s="157" t="s">
        <v>880</v>
      </c>
      <c r="B39" s="74" t="s">
        <v>661</v>
      </c>
      <c r="C39" s="153"/>
      <c r="D39" s="179">
        <f>19851.13+4642.57</f>
        <v>24493.7</v>
      </c>
    </row>
    <row r="40" spans="1:4" ht="14.25">
      <c r="A40" s="157" t="s">
        <v>925</v>
      </c>
      <c r="B40" s="74" t="s">
        <v>661</v>
      </c>
      <c r="C40" s="153"/>
      <c r="D40" s="180">
        <f>20433.38+4178.25</f>
        <v>24611.63</v>
      </c>
    </row>
    <row r="41" spans="1:4" ht="15">
      <c r="A41" s="151" t="s">
        <v>682</v>
      </c>
      <c r="B41" s="118"/>
      <c r="C41" s="153"/>
      <c r="D41" s="191"/>
    </row>
    <row r="42" spans="1:4" ht="14.25">
      <c r="A42" s="159" t="s">
        <v>884</v>
      </c>
      <c r="B42" s="74" t="s">
        <v>661</v>
      </c>
      <c r="C42" s="153"/>
      <c r="D42" s="192">
        <v>31339.69</v>
      </c>
    </row>
    <row r="43" spans="1:4" ht="14.25">
      <c r="A43" s="159" t="s">
        <v>886</v>
      </c>
      <c r="B43" s="74" t="s">
        <v>661</v>
      </c>
      <c r="C43" s="153"/>
      <c r="D43" s="192">
        <v>19201.68</v>
      </c>
    </row>
    <row r="44" spans="1:4" ht="14.25">
      <c r="A44" s="159" t="s">
        <v>888</v>
      </c>
      <c r="B44" s="74" t="s">
        <v>661</v>
      </c>
      <c r="C44" s="153"/>
      <c r="D44" s="192">
        <f>1344.36+684.51+2140.41+2416.36+664.45+696.61+24246.26</f>
        <v>32192.96</v>
      </c>
    </row>
    <row r="45" spans="1:4" ht="14.25">
      <c r="A45" s="159" t="s">
        <v>929</v>
      </c>
      <c r="B45" s="74" t="s">
        <v>661</v>
      </c>
      <c r="C45" s="152"/>
      <c r="D45" s="192">
        <v>2996.5</v>
      </c>
    </row>
    <row r="46" spans="1:4" ht="15">
      <c r="A46" s="195" t="s">
        <v>993</v>
      </c>
      <c r="B46" s="74" t="s">
        <v>661</v>
      </c>
      <c r="C46" s="152"/>
      <c r="D46" s="192">
        <f>110175+89276.96</f>
        <v>199451.96000000002</v>
      </c>
    </row>
    <row r="47" spans="1:4" ht="15">
      <c r="A47" s="195" t="s">
        <v>994</v>
      </c>
      <c r="B47" s="74" t="s">
        <v>661</v>
      </c>
      <c r="C47" s="152"/>
      <c r="D47" s="192">
        <v>866935.31</v>
      </c>
    </row>
    <row r="48" spans="1:4" ht="14.25" hidden="1">
      <c r="A48" s="157"/>
      <c r="B48" s="153"/>
      <c r="C48" s="152"/>
      <c r="D48" s="160"/>
    </row>
    <row r="49" spans="1:4" ht="15" hidden="1">
      <c r="A49" s="162" t="s">
        <v>821</v>
      </c>
      <c r="B49" s="163"/>
      <c r="C49" s="164"/>
      <c r="D49" s="165">
        <f>SUM(D33:D48)</f>
        <v>1344777.1400000001</v>
      </c>
    </row>
    <row r="50" spans="1:4" ht="15">
      <c r="A50" s="196"/>
      <c r="B50" s="196"/>
      <c r="C50" s="196"/>
      <c r="D50" s="197"/>
    </row>
    <row r="51" spans="1:4" ht="15">
      <c r="A51" s="196"/>
      <c r="B51" s="196"/>
      <c r="C51" s="196"/>
      <c r="D51" s="197"/>
    </row>
    <row r="52" spans="1:4" ht="15">
      <c r="A52" s="196"/>
      <c r="B52" s="196"/>
      <c r="C52" s="196"/>
      <c r="D52" s="197"/>
    </row>
    <row r="53" spans="1:4" ht="15">
      <c r="A53" s="71"/>
      <c r="B53" s="11"/>
      <c r="C53" s="11"/>
      <c r="D53" s="11"/>
    </row>
    <row r="54" spans="1:3" ht="15.75">
      <c r="A54" s="187" t="s">
        <v>921</v>
      </c>
      <c r="B54" s="187"/>
      <c r="C54" s="187" t="s">
        <v>889</v>
      </c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1" ht="15.75">
      <c r="A61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D16384"/>
    </sheetView>
  </sheetViews>
  <sheetFormatPr defaultColWidth="9.140625" defaultRowHeight="12.75"/>
  <cols>
    <col min="1" max="1" width="60.140625" style="1" customWidth="1"/>
    <col min="2" max="2" width="11.421875" style="1" customWidth="1"/>
    <col min="3" max="3" width="15.421875" style="1" customWidth="1"/>
    <col min="4" max="4" width="15.140625" style="1" customWidth="1"/>
    <col min="5" max="5" width="13.421875" style="0" customWidth="1"/>
  </cols>
  <sheetData>
    <row r="1" ht="12.75">
      <c r="D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56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942</v>
      </c>
      <c r="B7" s="1343"/>
      <c r="C7" s="139"/>
      <c r="D7" s="139"/>
    </row>
    <row r="8" spans="1:4" ht="13.5" thickBot="1">
      <c r="A8" s="4"/>
      <c r="B8"/>
      <c r="C8"/>
      <c r="D8" s="8">
        <v>5933.17</v>
      </c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1733.98+460295.92</f>
        <v>462029.89999999997</v>
      </c>
      <c r="D11" s="136"/>
    </row>
    <row r="12" spans="1:4" ht="15.75" thickBot="1">
      <c r="A12" s="1341" t="s">
        <v>646</v>
      </c>
      <c r="B12" s="1342"/>
      <c r="C12" s="137">
        <v>2191875.43</v>
      </c>
      <c r="D12" s="136"/>
    </row>
    <row r="13" spans="1:4" ht="15.75" thickBot="1">
      <c r="A13" s="1341" t="s">
        <v>647</v>
      </c>
      <c r="B13" s="1342"/>
      <c r="C13" s="135">
        <v>2171275.96</v>
      </c>
      <c r="D13" s="136"/>
    </row>
    <row r="14" spans="1:4" ht="15.75" hidden="1" thickBot="1">
      <c r="A14" s="1341" t="s">
        <v>666</v>
      </c>
      <c r="B14" s="1342"/>
      <c r="C14" s="135"/>
      <c r="D14" s="136"/>
    </row>
    <row r="15" spans="1:4" ht="15.75" hidden="1" thickBot="1">
      <c r="A15" s="1341" t="s">
        <v>46</v>
      </c>
      <c r="B15" s="1342"/>
      <c r="C15" s="135">
        <v>53481.36</v>
      </c>
      <c r="D15" s="136"/>
    </row>
    <row r="16" spans="1:4" ht="15.75" hidden="1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482629.3700000001</v>
      </c>
      <c r="D17" s="136"/>
    </row>
    <row r="18" spans="1:4" ht="15.75" thickBot="1">
      <c r="A18" s="1341" t="s">
        <v>806</v>
      </c>
      <c r="B18" s="1342"/>
      <c r="C18" s="170">
        <f>D24+D73+14816.8</f>
        <v>2152315.8674999997</v>
      </c>
      <c r="D18" s="136"/>
    </row>
    <row r="19" spans="2:4" ht="12.75">
      <c r="B19" s="83"/>
      <c r="C19" s="81">
        <f>C12-C18</f>
        <v>39559.562500000466</v>
      </c>
      <c r="D19" s="314">
        <f>C19/D8/9</f>
        <v>0.7408361709582729</v>
      </c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57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D25+D26+D27+D32+D34+D28+D29+32+D30+D31</f>
        <v>1107406.9738999999</v>
      </c>
    </row>
    <row r="25" spans="1:4" ht="26.25" thickBot="1">
      <c r="A25" s="166" t="s">
        <v>662</v>
      </c>
      <c r="B25" s="64" t="s">
        <v>652</v>
      </c>
      <c r="C25" s="45"/>
      <c r="D25" s="294">
        <v>118929.03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294">
        <v>163670.6</v>
      </c>
    </row>
    <row r="27" spans="1:4" ht="25.5" thickBot="1">
      <c r="A27" s="133" t="s">
        <v>658</v>
      </c>
      <c r="B27" s="168" t="s">
        <v>657</v>
      </c>
      <c r="C27" s="145"/>
      <c r="D27" s="294">
        <v>41016.44</v>
      </c>
    </row>
    <row r="28" spans="1:4" ht="25.5" thickBot="1">
      <c r="A28" s="133" t="s">
        <v>58</v>
      </c>
      <c r="B28" s="168" t="s">
        <v>657</v>
      </c>
      <c r="C28" s="145"/>
      <c r="D28" s="294">
        <f>7333+0.17*5933.17*9</f>
        <v>16410.7501</v>
      </c>
    </row>
    <row r="29" spans="1:4" ht="15.75" thickBot="1">
      <c r="A29" s="133" t="s">
        <v>1017</v>
      </c>
      <c r="B29" s="168"/>
      <c r="C29" s="45" t="s">
        <v>801</v>
      </c>
      <c r="D29" s="294">
        <v>608806.63</v>
      </c>
    </row>
    <row r="30" spans="1:4" s="300" customFormat="1" ht="15.75" thickBot="1">
      <c r="A30" s="309" t="s">
        <v>91</v>
      </c>
      <c r="B30" s="310"/>
      <c r="C30" s="45" t="s">
        <v>801</v>
      </c>
      <c r="D30" s="294">
        <f>59772.33+15132</f>
        <v>74904.33</v>
      </c>
    </row>
    <row r="31" spans="1:4" s="300" customFormat="1" ht="25.5" thickBot="1">
      <c r="A31" s="133" t="s">
        <v>97</v>
      </c>
      <c r="B31" s="168" t="s">
        <v>100</v>
      </c>
      <c r="C31" s="311"/>
      <c r="D31" s="294">
        <f>0.46*5933.17*9</f>
        <v>24563.323800000002</v>
      </c>
    </row>
    <row r="32" spans="1:4" ht="15.75" thickBot="1">
      <c r="A32" s="133" t="s">
        <v>799</v>
      </c>
      <c r="B32" s="181" t="s">
        <v>661</v>
      </c>
      <c r="C32" s="182"/>
      <c r="D32" s="295">
        <v>33885</v>
      </c>
    </row>
    <row r="33" spans="1:4" ht="15.75" thickBot="1">
      <c r="A33" s="189" t="s">
        <v>59</v>
      </c>
      <c r="B33" s="181" t="s">
        <v>661</v>
      </c>
      <c r="C33" s="182"/>
      <c r="D33" s="295">
        <v>1056.07</v>
      </c>
    </row>
    <row r="34" spans="1:4" ht="15.75" thickBot="1">
      <c r="A34" s="147" t="s">
        <v>685</v>
      </c>
      <c r="B34" s="184" t="s">
        <v>817</v>
      </c>
      <c r="C34" s="45" t="s">
        <v>801</v>
      </c>
      <c r="D34" s="296">
        <v>25188.87</v>
      </c>
    </row>
    <row r="35" spans="1:4" ht="15.75" thickBot="1">
      <c r="A35" s="148" t="s">
        <v>760</v>
      </c>
      <c r="B35" s="149"/>
      <c r="C35" s="139"/>
      <c r="D35" s="226">
        <f>D73</f>
        <v>1030092.0936000001</v>
      </c>
    </row>
    <row r="36" spans="1:4" ht="24.75" thickBot="1">
      <c r="A36" s="150" t="s">
        <v>672</v>
      </c>
      <c r="B36" s="15" t="s">
        <v>920</v>
      </c>
      <c r="C36" s="49" t="s">
        <v>673</v>
      </c>
      <c r="D36" s="176" t="s">
        <v>793</v>
      </c>
    </row>
    <row r="37" spans="1:4" s="300" customFormat="1" ht="14.25">
      <c r="A37" s="297" t="s">
        <v>60</v>
      </c>
      <c r="B37" s="298" t="s">
        <v>661</v>
      </c>
      <c r="C37" s="299"/>
      <c r="D37" s="299">
        <f>772.84+2256.16</f>
        <v>3029</v>
      </c>
    </row>
    <row r="38" spans="1:4" s="300" customFormat="1" ht="14.25">
      <c r="A38" s="304" t="s">
        <v>72</v>
      </c>
      <c r="B38" s="298" t="s">
        <v>40</v>
      </c>
      <c r="C38" s="299">
        <v>3</v>
      </c>
      <c r="D38" s="299">
        <v>2366.22</v>
      </c>
    </row>
    <row r="39" spans="1:4" ht="14.25" hidden="1">
      <c r="A39" s="188" t="s">
        <v>928</v>
      </c>
      <c r="B39" s="74" t="s">
        <v>661</v>
      </c>
      <c r="C39" s="153"/>
      <c r="D39" s="177">
        <v>0</v>
      </c>
    </row>
    <row r="40" spans="1:4" ht="14.25" hidden="1">
      <c r="A40" s="188" t="s">
        <v>930</v>
      </c>
      <c r="B40" s="74" t="s">
        <v>661</v>
      </c>
      <c r="C40" s="153"/>
      <c r="D40" s="177">
        <v>0</v>
      </c>
    </row>
    <row r="41" spans="1:4" ht="14.25">
      <c r="A41" s="151" t="s">
        <v>676</v>
      </c>
      <c r="B41" s="116"/>
      <c r="C41" s="153"/>
      <c r="D41" s="177"/>
    </row>
    <row r="42" spans="1:4" s="300" customFormat="1" ht="14.25">
      <c r="A42" s="302" t="s">
        <v>61</v>
      </c>
      <c r="B42" s="298" t="s">
        <v>40</v>
      </c>
      <c r="C42" s="299">
        <v>19</v>
      </c>
      <c r="D42" s="301">
        <f>1082.35+8415.8</f>
        <v>9498.15</v>
      </c>
    </row>
    <row r="43" spans="1:4" s="300" customFormat="1" ht="14.25">
      <c r="A43" s="302" t="s">
        <v>62</v>
      </c>
      <c r="B43" s="298" t="s">
        <v>63</v>
      </c>
      <c r="C43" s="299">
        <v>1</v>
      </c>
      <c r="D43" s="303">
        <v>3772.16</v>
      </c>
    </row>
    <row r="44" spans="1:4" s="300" customFormat="1" ht="14.25">
      <c r="A44" s="302" t="s">
        <v>64</v>
      </c>
      <c r="B44" s="298" t="s">
        <v>71</v>
      </c>
      <c r="C44" s="299">
        <v>1</v>
      </c>
      <c r="D44" s="303">
        <f>378.2+6136.01+4749.66</f>
        <v>11263.869999999999</v>
      </c>
    </row>
    <row r="45" spans="1:4" s="300" customFormat="1" ht="15" customHeight="1">
      <c r="A45" s="302" t="s">
        <v>73</v>
      </c>
      <c r="B45" s="305" t="s">
        <v>74</v>
      </c>
      <c r="C45" s="299">
        <v>0.124</v>
      </c>
      <c r="D45" s="303">
        <v>5688.08</v>
      </c>
    </row>
    <row r="46" spans="1:4" s="300" customFormat="1" ht="14.25">
      <c r="A46" s="302" t="s">
        <v>75</v>
      </c>
      <c r="B46" s="298" t="s">
        <v>63</v>
      </c>
      <c r="C46" s="299"/>
      <c r="D46" s="303">
        <f>13235.88+4839.57</f>
        <v>18075.449999999997</v>
      </c>
    </row>
    <row r="47" spans="1:4" s="300" customFormat="1" ht="14.25">
      <c r="A47" s="302" t="s">
        <v>76</v>
      </c>
      <c r="B47" s="298" t="s">
        <v>40</v>
      </c>
      <c r="C47" s="299">
        <v>1</v>
      </c>
      <c r="D47" s="303">
        <v>597.66</v>
      </c>
    </row>
    <row r="48" spans="1:4" s="300" customFormat="1" ht="14.25">
      <c r="A48" s="302" t="s">
        <v>77</v>
      </c>
      <c r="B48" s="298" t="s">
        <v>40</v>
      </c>
      <c r="C48" s="299"/>
      <c r="D48" s="303">
        <f>654.1+7536.67+204.58</f>
        <v>8395.35</v>
      </c>
    </row>
    <row r="49" spans="1:4" s="300" customFormat="1" ht="14.25">
      <c r="A49" s="302" t="s">
        <v>78</v>
      </c>
      <c r="B49" s="298" t="s">
        <v>40</v>
      </c>
      <c r="C49" s="299"/>
      <c r="D49" s="303">
        <v>5878.49</v>
      </c>
    </row>
    <row r="50" spans="1:4" s="300" customFormat="1" ht="14.25">
      <c r="A50" s="306" t="s">
        <v>883</v>
      </c>
      <c r="B50" s="298" t="s">
        <v>661</v>
      </c>
      <c r="C50" s="299"/>
      <c r="D50" s="303">
        <f>3732.04+450.09+4132.9+7112.07</f>
        <v>15427.099999999999</v>
      </c>
    </row>
    <row r="51" spans="1:4" s="300" customFormat="1" ht="14.25">
      <c r="A51" s="306" t="s">
        <v>79</v>
      </c>
      <c r="B51" s="298" t="s">
        <v>40</v>
      </c>
      <c r="C51" s="299">
        <v>1</v>
      </c>
      <c r="D51" s="303">
        <f>1809.65+2288.42</f>
        <v>4098.07</v>
      </c>
    </row>
    <row r="52" spans="1:4" s="300" customFormat="1" ht="14.25">
      <c r="A52" s="306" t="s">
        <v>82</v>
      </c>
      <c r="B52" s="305" t="s">
        <v>74</v>
      </c>
      <c r="C52" s="299">
        <v>0.4</v>
      </c>
      <c r="D52" s="303">
        <v>4836.83</v>
      </c>
    </row>
    <row r="53" spans="1:4" s="300" customFormat="1" ht="14.25">
      <c r="A53" s="306" t="s">
        <v>80</v>
      </c>
      <c r="B53" s="305" t="s">
        <v>81</v>
      </c>
      <c r="C53" s="299">
        <v>4</v>
      </c>
      <c r="D53" s="303">
        <v>3281.86</v>
      </c>
    </row>
    <row r="54" spans="1:4" s="300" customFormat="1" ht="14.25">
      <c r="A54" s="306" t="s">
        <v>82</v>
      </c>
      <c r="B54" s="305" t="s">
        <v>74</v>
      </c>
      <c r="C54" s="299">
        <v>0.412</v>
      </c>
      <c r="D54" s="303">
        <v>14230.08</v>
      </c>
    </row>
    <row r="55" spans="1:4" s="300" customFormat="1" ht="14.25">
      <c r="A55" s="306" t="s">
        <v>83</v>
      </c>
      <c r="B55" s="305" t="s">
        <v>40</v>
      </c>
      <c r="C55" s="299">
        <v>2</v>
      </c>
      <c r="D55" s="303">
        <v>4067.14</v>
      </c>
    </row>
    <row r="56" spans="1:4" s="300" customFormat="1" ht="14.25">
      <c r="A56" s="306" t="s">
        <v>84</v>
      </c>
      <c r="B56" s="305" t="s">
        <v>40</v>
      </c>
      <c r="C56" s="299">
        <v>4</v>
      </c>
      <c r="D56" s="303">
        <v>2983.86</v>
      </c>
    </row>
    <row r="57" spans="1:4" s="300" customFormat="1" ht="14.25">
      <c r="A57" s="302" t="s">
        <v>85</v>
      </c>
      <c r="B57" s="305" t="s">
        <v>40</v>
      </c>
      <c r="C57" s="299">
        <v>7</v>
      </c>
      <c r="D57" s="303">
        <f>1897.89+931.83</f>
        <v>2829.7200000000003</v>
      </c>
    </row>
    <row r="58" spans="1:4" s="300" customFormat="1" ht="14.25">
      <c r="A58" s="302" t="s">
        <v>86</v>
      </c>
      <c r="B58" s="305" t="s">
        <v>40</v>
      </c>
      <c r="C58" s="299">
        <v>2</v>
      </c>
      <c r="D58" s="303">
        <v>1609.97</v>
      </c>
    </row>
    <row r="59" spans="1:4" s="300" customFormat="1" ht="14.25">
      <c r="A59" s="302" t="s">
        <v>87</v>
      </c>
      <c r="B59" s="305" t="s">
        <v>88</v>
      </c>
      <c r="C59" s="299">
        <v>3.144</v>
      </c>
      <c r="D59" s="303">
        <v>12197.87</v>
      </c>
    </row>
    <row r="60" spans="1:4" s="300" customFormat="1" ht="14.25">
      <c r="A60" s="306" t="s">
        <v>89</v>
      </c>
      <c r="B60" s="305" t="s">
        <v>40</v>
      </c>
      <c r="C60" s="299">
        <v>2</v>
      </c>
      <c r="D60" s="303">
        <v>420.96</v>
      </c>
    </row>
    <row r="61" spans="1:4" ht="14.25">
      <c r="A61" s="132" t="s">
        <v>95</v>
      </c>
      <c r="B61" s="74" t="s">
        <v>661</v>
      </c>
      <c r="C61" s="153"/>
      <c r="D61" s="313">
        <f>0.95*5933.17*9</f>
        <v>50728.6035</v>
      </c>
    </row>
    <row r="62" spans="1:4" ht="14.25">
      <c r="A62" s="132" t="s">
        <v>99</v>
      </c>
      <c r="B62" s="74"/>
      <c r="C62" s="153"/>
      <c r="D62" s="317">
        <f>(0.06+1.03)*5933.17*9</f>
        <v>58204.3977</v>
      </c>
    </row>
    <row r="63" spans="1:4" ht="14.25">
      <c r="A63" s="315" t="s">
        <v>98</v>
      </c>
      <c r="B63" s="74" t="s">
        <v>661</v>
      </c>
      <c r="C63" s="153"/>
      <c r="D63" s="316">
        <f>(1.48+0.15)*5933.17*9</f>
        <v>87039.6039</v>
      </c>
    </row>
    <row r="64" spans="1:4" ht="15">
      <c r="A64" s="151" t="s">
        <v>682</v>
      </c>
      <c r="B64" s="118"/>
      <c r="C64" s="153"/>
      <c r="D64" s="191"/>
    </row>
    <row r="65" spans="1:4" ht="14.25">
      <c r="A65" s="159" t="s">
        <v>94</v>
      </c>
      <c r="B65" s="74" t="s">
        <v>661</v>
      </c>
      <c r="C65" s="153"/>
      <c r="D65" s="312">
        <f>0.73*5933.17*9</f>
        <v>38980.9269</v>
      </c>
    </row>
    <row r="66" spans="1:4" s="300" customFormat="1" ht="14.25">
      <c r="A66" s="307" t="s">
        <v>886</v>
      </c>
      <c r="B66" s="298" t="s">
        <v>40</v>
      </c>
      <c r="C66" s="299">
        <v>20</v>
      </c>
      <c r="D66" s="308">
        <v>1056.62</v>
      </c>
    </row>
    <row r="67" spans="1:4" s="300" customFormat="1" ht="14.25">
      <c r="A67" s="307" t="s">
        <v>90</v>
      </c>
      <c r="B67" s="298" t="s">
        <v>40</v>
      </c>
      <c r="C67" s="299">
        <v>2</v>
      </c>
      <c r="D67" s="308">
        <v>387.26</v>
      </c>
    </row>
    <row r="68" spans="1:4" s="300" customFormat="1" ht="14.25">
      <c r="A68" s="307" t="s">
        <v>888</v>
      </c>
      <c r="B68" s="298" t="s">
        <v>661</v>
      </c>
      <c r="C68" s="299"/>
      <c r="D68" s="308">
        <v>33316.02</v>
      </c>
    </row>
    <row r="69" spans="1:4" ht="14.25">
      <c r="A69" s="159" t="s">
        <v>93</v>
      </c>
      <c r="B69" s="74" t="s">
        <v>661</v>
      </c>
      <c r="C69" s="152"/>
      <c r="D69" s="312">
        <f>(4.66*5933.17+5.38*5933.17)*9</f>
        <v>536121.2412</v>
      </c>
    </row>
    <row r="70" spans="1:4" ht="15">
      <c r="A70" s="195" t="s">
        <v>96</v>
      </c>
      <c r="B70" s="74" t="s">
        <v>661</v>
      </c>
      <c r="C70" s="152"/>
      <c r="D70" s="312">
        <f>1.68*5933.17*9</f>
        <v>89709.5304</v>
      </c>
    </row>
    <row r="71" spans="1:4" ht="15" hidden="1">
      <c r="A71" s="195" t="s">
        <v>994</v>
      </c>
      <c r="B71" s="74" t="s">
        <v>661</v>
      </c>
      <c r="C71" s="152"/>
      <c r="D71" s="192">
        <v>0</v>
      </c>
    </row>
    <row r="72" spans="1:4" ht="14.25">
      <c r="A72" s="157"/>
      <c r="B72" s="153"/>
      <c r="C72" s="152"/>
      <c r="D72" s="160"/>
    </row>
    <row r="73" spans="1:4" ht="15">
      <c r="A73" s="162" t="s">
        <v>821</v>
      </c>
      <c r="B73" s="163"/>
      <c r="C73" s="164"/>
      <c r="D73" s="165">
        <f>SUM(D37:D72)</f>
        <v>1030092.0936000001</v>
      </c>
    </row>
    <row r="74" spans="1:4" ht="15">
      <c r="A74" s="196"/>
      <c r="B74" s="196"/>
      <c r="C74" s="196"/>
      <c r="D74" s="197"/>
    </row>
    <row r="75" spans="1:4" ht="15">
      <c r="A75" s="196"/>
      <c r="B75" s="196"/>
      <c r="C75" s="196"/>
      <c r="D75" s="197"/>
    </row>
    <row r="76" spans="1:4" ht="15">
      <c r="A76" s="196"/>
      <c r="B76" s="196"/>
      <c r="C76" s="196"/>
      <c r="D76" s="197"/>
    </row>
    <row r="77" spans="1:4" ht="15">
      <c r="A77" s="71"/>
      <c r="B77" s="11"/>
      <c r="C77" s="11"/>
      <c r="D77" s="11"/>
    </row>
    <row r="78" spans="1:4" ht="15.75">
      <c r="A78" s="187" t="s">
        <v>830</v>
      </c>
      <c r="B78" s="187"/>
      <c r="C78" s="187" t="s">
        <v>92</v>
      </c>
      <c r="D78" s="11"/>
    </row>
    <row r="79" spans="1:4" ht="15.75">
      <c r="A79" s="6"/>
      <c r="D79" s="11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5" ht="15.75">
      <c r="A85" s="7"/>
    </row>
  </sheetData>
  <sheetProtection/>
  <mergeCells count="15">
    <mergeCell ref="A21:D21"/>
    <mergeCell ref="A12:B12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7:B7"/>
    <mergeCell ref="A9:B10"/>
    <mergeCell ref="A18:B18"/>
    <mergeCell ref="A20:D20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41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62.421875" style="1" customWidth="1"/>
    <col min="2" max="2" width="11.8515625" style="1" customWidth="1"/>
    <col min="3" max="3" width="9.7109375" style="1" customWidth="1"/>
    <col min="4" max="4" width="16.7109375" style="1" customWidth="1"/>
    <col min="5" max="5" width="9.57421875" style="123" hidden="1" customWidth="1"/>
    <col min="6" max="6" width="9.8515625" style="123" hidden="1" customWidth="1"/>
    <col min="7" max="7" width="11.8515625" style="0" hidden="1" customWidth="1"/>
    <col min="8" max="8" width="10.421875" style="123" hidden="1" customWidth="1"/>
    <col min="9" max="9" width="7.140625" style="123" hidden="1" customWidth="1"/>
    <col min="10" max="10" width="13.8515625" style="0" hidden="1" customWidth="1"/>
    <col min="11" max="11" width="9.57421875" style="0" bestFit="1" customWidth="1"/>
    <col min="12" max="12" width="18.421875" style="0" customWidth="1"/>
  </cols>
  <sheetData>
    <row r="2" ht="12.75">
      <c r="D2" s="1" t="s">
        <v>792</v>
      </c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355</v>
      </c>
      <c r="B6" s="1363"/>
      <c r="C6" s="91"/>
      <c r="D6" s="91"/>
    </row>
    <row r="7" spans="1:4" ht="15.75">
      <c r="A7" s="354"/>
      <c r="B7" s="354"/>
      <c r="C7" s="91"/>
      <c r="D7" s="91"/>
    </row>
    <row r="8" spans="1:4" ht="15">
      <c r="A8" s="1324" t="s">
        <v>475</v>
      </c>
      <c r="B8" s="1343"/>
      <c r="C8" s="139"/>
      <c r="D8" s="139"/>
    </row>
    <row r="9" spans="1:4" ht="12.75">
      <c r="A9" s="4"/>
      <c r="B9"/>
      <c r="C9"/>
      <c r="D9" s="8"/>
    </row>
    <row r="10" spans="1:4" ht="12.75" customHeight="1">
      <c r="A10" s="1353" t="s">
        <v>642</v>
      </c>
      <c r="B10" s="1325"/>
      <c r="C10" s="1366" t="s">
        <v>488</v>
      </c>
      <c r="D10" s="1367"/>
    </row>
    <row r="11" spans="1:4" ht="12.75" customHeight="1">
      <c r="A11" s="1326"/>
      <c r="B11" s="1307"/>
      <c r="C11" s="1368"/>
      <c r="D11" s="1369"/>
    </row>
    <row r="12" spans="1:4" ht="15">
      <c r="A12" s="372" t="s">
        <v>347</v>
      </c>
      <c r="B12" s="472"/>
      <c r="C12" s="1370">
        <v>530783.16</v>
      </c>
      <c r="D12" s="1371"/>
    </row>
    <row r="13" spans="1:4" ht="15">
      <c r="A13" s="471" t="s">
        <v>486</v>
      </c>
      <c r="B13" s="473"/>
      <c r="C13" s="1336">
        <v>2264224.92</v>
      </c>
      <c r="D13" s="1337"/>
    </row>
    <row r="14" spans="1:4" ht="15">
      <c r="A14" s="470" t="s">
        <v>647</v>
      </c>
      <c r="B14" s="474"/>
      <c r="C14" s="1338">
        <v>2198756.63</v>
      </c>
      <c r="D14" s="1339"/>
    </row>
    <row r="15" spans="1:11" ht="15">
      <c r="A15" s="475" t="s">
        <v>348</v>
      </c>
      <c r="B15" s="476"/>
      <c r="C15" s="1318">
        <f>C12+C13-C14</f>
        <v>596251.4500000002</v>
      </c>
      <c r="D15" s="1319"/>
      <c r="K15" s="111"/>
    </row>
    <row r="16" spans="1:4" ht="14.25">
      <c r="A16" s="470" t="s">
        <v>539</v>
      </c>
      <c r="B16" s="474"/>
      <c r="C16" s="1318">
        <v>2169642.74</v>
      </c>
      <c r="D16" s="1319"/>
    </row>
    <row r="17" spans="1:4" ht="12.75">
      <c r="A17" s="82"/>
      <c r="B17" s="83"/>
      <c r="C17" s="83"/>
      <c r="D17" s="83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31.5" customHeight="1" thickBot="1">
      <c r="A22" s="501" t="s">
        <v>892</v>
      </c>
      <c r="B22" s="502" t="s">
        <v>667</v>
      </c>
      <c r="C22" s="499" t="s">
        <v>673</v>
      </c>
      <c r="D22" s="503"/>
    </row>
    <row r="23" spans="1:4" ht="16.5" thickBot="1">
      <c r="A23" s="477" t="s">
        <v>913</v>
      </c>
      <c r="B23" s="455"/>
      <c r="C23" s="456"/>
      <c r="D23" s="468"/>
    </row>
    <row r="24" spans="1:4" ht="26.25">
      <c r="A24" s="546" t="s">
        <v>105</v>
      </c>
      <c r="B24" s="637" t="s">
        <v>652</v>
      </c>
      <c r="C24" s="536"/>
      <c r="D24" s="528">
        <v>304090.49</v>
      </c>
    </row>
    <row r="25" spans="1:4" ht="27.75" customHeight="1">
      <c r="A25" s="546" t="s">
        <v>58</v>
      </c>
      <c r="B25" s="399" t="s">
        <v>657</v>
      </c>
      <c r="C25" s="392"/>
      <c r="D25" s="393">
        <v>145360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178161.38</v>
      </c>
    </row>
    <row r="27" spans="1:4" ht="15">
      <c r="A27" s="546" t="s">
        <v>799</v>
      </c>
      <c r="B27" s="625" t="s">
        <v>661</v>
      </c>
      <c r="C27" s="625"/>
      <c r="D27" s="626">
        <v>18743.36</v>
      </c>
    </row>
    <row r="28" spans="1:4" ht="18" customHeight="1">
      <c r="A28" s="389" t="s">
        <v>388</v>
      </c>
      <c r="B28" s="665" t="s">
        <v>661</v>
      </c>
      <c r="C28" s="491"/>
      <c r="D28" s="402">
        <v>19282.59</v>
      </c>
    </row>
    <row r="29" spans="1:4" ht="15">
      <c r="A29" s="492" t="s">
        <v>1017</v>
      </c>
      <c r="B29" s="398" t="s">
        <v>102</v>
      </c>
      <c r="C29" s="392"/>
      <c r="D29" s="393">
        <v>215116.2</v>
      </c>
    </row>
    <row r="30" spans="1:4" ht="24" thickBot="1">
      <c r="A30" s="413" t="s">
        <v>14</v>
      </c>
      <c r="B30" s="1006" t="s">
        <v>657</v>
      </c>
      <c r="C30" s="405"/>
      <c r="D30" s="512">
        <v>222724.81</v>
      </c>
    </row>
    <row r="31" spans="1:4" ht="15.75" thickBot="1">
      <c r="A31" s="805" t="s">
        <v>701</v>
      </c>
      <c r="B31" s="1009"/>
      <c r="C31" s="796"/>
      <c r="D31" s="939">
        <v>1103478.83</v>
      </c>
    </row>
    <row r="32" spans="1:4" ht="15.75" thickBot="1">
      <c r="A32" s="645" t="s">
        <v>914</v>
      </c>
      <c r="B32" s="59"/>
      <c r="C32" s="228"/>
      <c r="D32" s="648"/>
    </row>
    <row r="33" spans="1:4" ht="15">
      <c r="A33" s="202" t="s">
        <v>733</v>
      </c>
      <c r="B33" s="222" t="s">
        <v>920</v>
      </c>
      <c r="C33" s="646" t="s">
        <v>673</v>
      </c>
      <c r="D33" s="647" t="s">
        <v>793</v>
      </c>
    </row>
    <row r="34" spans="1:4" ht="15">
      <c r="A34" s="377" t="s">
        <v>389</v>
      </c>
      <c r="B34" s="365" t="s">
        <v>478</v>
      </c>
      <c r="C34" s="644">
        <v>1</v>
      </c>
      <c r="D34" s="644">
        <v>416487</v>
      </c>
    </row>
    <row r="35" spans="1:4" ht="29.25">
      <c r="A35" s="389" t="s">
        <v>390</v>
      </c>
      <c r="B35" s="365" t="s">
        <v>478</v>
      </c>
      <c r="C35" s="639">
        <v>4</v>
      </c>
      <c r="D35" s="639">
        <v>3385.87</v>
      </c>
    </row>
    <row r="36" spans="1:4" ht="15.75" thickBot="1">
      <c r="A36" s="799" t="s">
        <v>724</v>
      </c>
      <c r="B36" s="1007"/>
      <c r="C36" s="799"/>
      <c r="D36" s="836">
        <v>25500.38</v>
      </c>
    </row>
    <row r="37" spans="1:4" ht="16.5" thickBot="1">
      <c r="A37" s="829" t="s">
        <v>701</v>
      </c>
      <c r="B37" s="957"/>
      <c r="C37" s="550"/>
      <c r="D37" s="1010">
        <v>445373.25</v>
      </c>
    </row>
    <row r="38" spans="1:4" ht="15">
      <c r="A38" s="943" t="s">
        <v>21</v>
      </c>
      <c r="B38" s="382"/>
      <c r="C38" s="652"/>
      <c r="D38" s="598"/>
    </row>
    <row r="39" spans="1:4" ht="15">
      <c r="A39" s="383" t="s">
        <v>174</v>
      </c>
      <c r="B39" s="963" t="s">
        <v>478</v>
      </c>
      <c r="C39" s="652">
        <v>1</v>
      </c>
      <c r="D39" s="598">
        <v>1183.12</v>
      </c>
    </row>
    <row r="40" spans="1:4" ht="15.75" thickBot="1">
      <c r="A40" s="843" t="s">
        <v>727</v>
      </c>
      <c r="B40" s="963"/>
      <c r="C40" s="652">
        <v>3</v>
      </c>
      <c r="D40" s="598">
        <v>2517.21</v>
      </c>
    </row>
    <row r="41" spans="1:4" ht="15.75" thickBot="1">
      <c r="A41" s="982" t="s">
        <v>701</v>
      </c>
      <c r="B41" s="984"/>
      <c r="C41" s="985"/>
      <c r="D41" s="1005">
        <v>3700.33</v>
      </c>
    </row>
    <row r="42" spans="1:4" ht="15">
      <c r="A42" s="668" t="s">
        <v>23</v>
      </c>
      <c r="B42" s="983"/>
      <c r="C42" s="644"/>
      <c r="D42" s="644"/>
    </row>
    <row r="43" spans="1:4" ht="15">
      <c r="A43" s="177" t="s">
        <v>489</v>
      </c>
      <c r="B43" s="320" t="s">
        <v>211</v>
      </c>
      <c r="C43" s="639">
        <v>2</v>
      </c>
      <c r="D43" s="642">
        <v>7585.88</v>
      </c>
    </row>
    <row r="44" spans="1:4" ht="29.25">
      <c r="A44" s="1008" t="s">
        <v>394</v>
      </c>
      <c r="B44" s="320" t="s">
        <v>40</v>
      </c>
      <c r="C44" s="639">
        <v>5</v>
      </c>
      <c r="D44" s="642">
        <v>8996.39</v>
      </c>
    </row>
    <row r="45" spans="1:4" ht="15">
      <c r="A45" s="1008" t="s">
        <v>299</v>
      </c>
      <c r="B45" s="320" t="s">
        <v>40</v>
      </c>
      <c r="C45" s="639">
        <v>1</v>
      </c>
      <c r="D45" s="642">
        <v>196.44</v>
      </c>
    </row>
    <row r="46" spans="1:4" ht="15">
      <c r="A46" s="177" t="s">
        <v>378</v>
      </c>
      <c r="B46" s="320"/>
      <c r="C46" s="639"/>
      <c r="D46" s="641">
        <v>26603</v>
      </c>
    </row>
    <row r="47" spans="1:4" ht="15.75" thickBot="1">
      <c r="A47" s="807" t="s">
        <v>393</v>
      </c>
      <c r="B47" s="381"/>
      <c r="C47" s="641">
        <v>10</v>
      </c>
      <c r="D47" s="641">
        <v>6147.14</v>
      </c>
    </row>
    <row r="48" spans="1:4" ht="15.75" thickBot="1">
      <c r="A48" s="806" t="s">
        <v>701</v>
      </c>
      <c r="B48" s="957"/>
      <c r="C48" s="985"/>
      <c r="D48" s="1005">
        <v>49528.85</v>
      </c>
    </row>
    <row r="49" spans="1:4" ht="15">
      <c r="A49" s="223" t="s">
        <v>27</v>
      </c>
      <c r="B49" s="988"/>
      <c r="C49" s="644">
        <v>10</v>
      </c>
      <c r="D49" s="987"/>
    </row>
    <row r="50" spans="1:4" ht="15">
      <c r="A50" s="218" t="s">
        <v>479</v>
      </c>
      <c r="B50" s="320" t="s">
        <v>52</v>
      </c>
      <c r="C50" s="639">
        <v>3</v>
      </c>
      <c r="D50" s="642">
        <v>6350.95</v>
      </c>
    </row>
    <row r="51" spans="1:4" ht="15">
      <c r="A51" s="177" t="s">
        <v>212</v>
      </c>
      <c r="B51" s="320" t="s">
        <v>81</v>
      </c>
      <c r="C51" s="639">
        <v>3</v>
      </c>
      <c r="D51" s="643">
        <v>3191.59</v>
      </c>
    </row>
    <row r="52" spans="1:4" ht="15.75" thickBot="1">
      <c r="A52" s="989" t="s">
        <v>882</v>
      </c>
      <c r="B52" s="990"/>
      <c r="C52" s="641">
        <v>8</v>
      </c>
      <c r="D52" s="642">
        <v>13854.65</v>
      </c>
    </row>
    <row r="53" spans="1:4" ht="15.75" thickBot="1">
      <c r="A53" s="806" t="s">
        <v>701</v>
      </c>
      <c r="B53" s="957"/>
      <c r="C53" s="985"/>
      <c r="D53" s="1005">
        <v>23397.19</v>
      </c>
    </row>
    <row r="54" spans="1:4" ht="15">
      <c r="A54" s="890" t="s">
        <v>362</v>
      </c>
      <c r="B54" s="991"/>
      <c r="C54" s="644"/>
      <c r="D54" s="644"/>
    </row>
    <row r="55" spans="1:4" ht="15">
      <c r="A55" s="359" t="s">
        <v>221</v>
      </c>
      <c r="B55" s="364" t="s">
        <v>40</v>
      </c>
      <c r="C55" s="421">
        <v>8</v>
      </c>
      <c r="D55" s="425">
        <v>13217.7</v>
      </c>
    </row>
    <row r="56" spans="1:4" ht="15">
      <c r="A56" s="359" t="s">
        <v>392</v>
      </c>
      <c r="B56" s="364" t="s">
        <v>40</v>
      </c>
      <c r="C56" s="615">
        <v>3</v>
      </c>
      <c r="D56" s="425">
        <v>2208.49</v>
      </c>
    </row>
    <row r="57" spans="1:4" ht="16.5" thickBot="1">
      <c r="A57" s="554" t="s">
        <v>695</v>
      </c>
      <c r="B57" s="381"/>
      <c r="C57" s="616">
        <v>4</v>
      </c>
      <c r="D57" s="541">
        <v>4528.72</v>
      </c>
    </row>
    <row r="58" spans="1:12" ht="15.75" thickBot="1">
      <c r="A58" s="992" t="s">
        <v>701</v>
      </c>
      <c r="B58" s="957"/>
      <c r="C58" s="971"/>
      <c r="D58" s="892">
        <v>19954.91</v>
      </c>
      <c r="L58" s="111"/>
    </row>
    <row r="59" spans="1:4" ht="15">
      <c r="A59" s="667" t="s">
        <v>386</v>
      </c>
      <c r="B59" s="993"/>
      <c r="C59" s="994"/>
      <c r="D59" s="995"/>
    </row>
    <row r="60" spans="1:4" ht="15">
      <c r="A60" s="177" t="s">
        <v>542</v>
      </c>
      <c r="B60" s="986"/>
      <c r="C60" s="994">
        <v>1</v>
      </c>
      <c r="D60" s="644">
        <v>222.16</v>
      </c>
    </row>
    <row r="61" spans="1:4" ht="15">
      <c r="A61" s="669" t="s">
        <v>886</v>
      </c>
      <c r="B61" s="320" t="s">
        <v>40</v>
      </c>
      <c r="C61" s="640">
        <v>7</v>
      </c>
      <c r="D61" s="639">
        <v>3779.04</v>
      </c>
    </row>
    <row r="62" spans="1:4" ht="15.75" thickBot="1">
      <c r="A62" s="998" t="s">
        <v>391</v>
      </c>
      <c r="B62" s="990"/>
      <c r="C62" s="996">
        <v>3</v>
      </c>
      <c r="D62" s="641">
        <v>2956.96</v>
      </c>
    </row>
    <row r="63" spans="1:4" ht="15.75" thickBot="1">
      <c r="A63" s="982" t="s">
        <v>701</v>
      </c>
      <c r="B63" s="984"/>
      <c r="C63" s="997"/>
      <c r="D63" s="1005">
        <v>6958.16</v>
      </c>
    </row>
    <row r="64" spans="1:4" ht="15.75" thickBot="1">
      <c r="A64" s="1000" t="s">
        <v>387</v>
      </c>
      <c r="B64" s="984"/>
      <c r="C64" s="997"/>
      <c r="D64" s="1005">
        <v>548912.69</v>
      </c>
    </row>
    <row r="65" spans="1:4" ht="15.75" thickBot="1">
      <c r="A65" s="1003"/>
      <c r="B65" s="1004"/>
      <c r="C65" s="1001"/>
      <c r="D65" s="1002"/>
    </row>
    <row r="66" spans="1:4" ht="15.75" thickBot="1">
      <c r="A66" s="1000" t="s">
        <v>743</v>
      </c>
      <c r="B66" s="984"/>
      <c r="C66" s="997"/>
      <c r="D66" s="1005">
        <v>65971.94</v>
      </c>
    </row>
    <row r="67" spans="1:4" ht="15.75" thickBot="1">
      <c r="A67" s="1000" t="s">
        <v>376</v>
      </c>
      <c r="B67" s="984"/>
      <c r="C67" s="997"/>
      <c r="D67" s="1005">
        <v>50577.1</v>
      </c>
    </row>
    <row r="68" spans="1:4" ht="15.75" thickBot="1">
      <c r="A68" s="1000" t="s">
        <v>735</v>
      </c>
      <c r="B68" s="984"/>
      <c r="C68" s="997"/>
      <c r="D68" s="1005">
        <v>400702.18</v>
      </c>
    </row>
    <row r="69" spans="1:4" ht="15.75" thickBot="1">
      <c r="A69" s="999"/>
      <c r="B69" s="964"/>
      <c r="C69" s="1001"/>
      <c r="D69" s="1002"/>
    </row>
    <row r="70" spans="1:4" ht="15.75" thickBot="1">
      <c r="A70" s="982" t="s">
        <v>918</v>
      </c>
      <c r="B70" s="984"/>
      <c r="C70" s="997"/>
      <c r="D70" s="1011">
        <v>2169642.74</v>
      </c>
    </row>
    <row r="71" spans="1:4" ht="15">
      <c r="A71" s="196"/>
      <c r="B71" s="196"/>
      <c r="C71" s="196"/>
      <c r="D71" s="197"/>
    </row>
    <row r="72" spans="1:4" ht="12.75">
      <c r="A72" s="1353"/>
      <c r="B72" s="1354"/>
      <c r="C72" s="374"/>
      <c r="D72" s="442"/>
    </row>
    <row r="73" spans="1:4" ht="12.75">
      <c r="A73" s="1355"/>
      <c r="B73" s="1356"/>
      <c r="C73" s="559"/>
      <c r="D73" s="559"/>
    </row>
    <row r="74" spans="1:4" ht="15">
      <c r="A74" s="1251" t="s">
        <v>568</v>
      </c>
      <c r="B74" s="1257"/>
      <c r="C74" s="467"/>
      <c r="D74" s="467">
        <v>0</v>
      </c>
    </row>
    <row r="75" spans="1:4" ht="12.75" customHeight="1">
      <c r="A75" s="1250" t="s">
        <v>569</v>
      </c>
      <c r="B75" s="1250"/>
      <c r="C75" s="628"/>
      <c r="D75" s="608">
        <v>2198756.63</v>
      </c>
    </row>
    <row r="76" spans="1:4" ht="15">
      <c r="A76" s="1332" t="s">
        <v>570</v>
      </c>
      <c r="B76" s="1332"/>
      <c r="C76" s="607"/>
      <c r="D76" s="608">
        <v>2169642.74</v>
      </c>
    </row>
    <row r="77" spans="1:4" ht="15">
      <c r="A77" s="1333" t="s">
        <v>571</v>
      </c>
      <c r="B77" s="1333"/>
      <c r="C77" s="629"/>
      <c r="D77" s="629">
        <v>-29113.89</v>
      </c>
    </row>
    <row r="78" spans="1:4" ht="15">
      <c r="A78" s="1332" t="s">
        <v>179</v>
      </c>
      <c r="B78" s="1332"/>
      <c r="C78" s="1258"/>
      <c r="D78" s="630">
        <v>-29113.89</v>
      </c>
    </row>
    <row r="82" spans="1:3" ht="12.75">
      <c r="A82" s="1" t="s">
        <v>842</v>
      </c>
      <c r="C82" s="1" t="s">
        <v>843</v>
      </c>
    </row>
    <row r="84" ht="12.75">
      <c r="A84" s="735" t="s">
        <v>357</v>
      </c>
    </row>
    <row r="85" ht="12.75">
      <c r="A85" s="735" t="s">
        <v>906</v>
      </c>
    </row>
    <row r="86" ht="12.75">
      <c r="A86" s="735" t="s">
        <v>358</v>
      </c>
    </row>
    <row r="88" spans="1:4" ht="22.5">
      <c r="A88" s="1331"/>
      <c r="B88" s="1331"/>
      <c r="C88" s="140"/>
      <c r="D88" s="140"/>
    </row>
    <row r="89" spans="1:4" ht="15.75">
      <c r="A89" s="1363"/>
      <c r="B89" s="1363"/>
      <c r="C89" s="91"/>
      <c r="D89" s="91"/>
    </row>
    <row r="90" spans="1:4" ht="15.75">
      <c r="A90" s="1363"/>
      <c r="B90" s="1363"/>
      <c r="C90" s="91"/>
      <c r="D90" s="91"/>
    </row>
    <row r="91" spans="1:4" ht="15.75">
      <c r="A91" s="1363"/>
      <c r="B91" s="1363"/>
      <c r="C91" s="91"/>
      <c r="D91" s="91"/>
    </row>
    <row r="92" spans="1:4" ht="14.25" customHeight="1">
      <c r="A92" s="354"/>
      <c r="B92" s="354"/>
      <c r="C92" s="91"/>
      <c r="D92" s="91"/>
    </row>
    <row r="93" spans="1:4" ht="14.25" customHeight="1" hidden="1">
      <c r="A93" s="1324"/>
      <c r="B93" s="1343"/>
      <c r="C93" s="139"/>
      <c r="D93" s="139"/>
    </row>
    <row r="94" spans="1:4" ht="12.75" customHeight="1" hidden="1">
      <c r="A94" s="1353"/>
      <c r="B94" s="1325"/>
      <c r="C94" s="1366"/>
      <c r="D94" s="1367"/>
    </row>
    <row r="95" spans="1:4" ht="15">
      <c r="A95" s="71"/>
      <c r="B95" s="11"/>
      <c r="C95" s="11"/>
      <c r="D95" s="11"/>
    </row>
    <row r="96" spans="1:4" ht="15">
      <c r="A96" s="419"/>
      <c r="B96" s="419"/>
      <c r="C96" s="415"/>
      <c r="D96" s="670"/>
    </row>
    <row r="98" spans="1:4" ht="15">
      <c r="A98" s="370"/>
      <c r="B98" s="370"/>
      <c r="C98" s="370"/>
      <c r="D98" s="371"/>
    </row>
    <row r="99" spans="1:4" ht="15">
      <c r="A99" s="370"/>
      <c r="B99" s="370"/>
      <c r="C99" s="370"/>
      <c r="D99" s="371"/>
    </row>
    <row r="100" spans="1:4" ht="15">
      <c r="A100" s="370"/>
      <c r="B100" s="370"/>
      <c r="C100" s="370"/>
      <c r="D100" s="371"/>
    </row>
    <row r="101" spans="1:4" ht="15">
      <c r="A101" s="71"/>
      <c r="B101" s="11"/>
      <c r="C101" s="11"/>
      <c r="D101" s="11"/>
    </row>
    <row r="102" spans="1:4" ht="15">
      <c r="A102" s="419"/>
      <c r="B102"/>
      <c r="C102" s="419"/>
      <c r="D102" s="11"/>
    </row>
    <row r="139" ht="12.75">
      <c r="A139" s="690"/>
    </row>
    <row r="140" ht="12.75">
      <c r="A140" s="690"/>
    </row>
    <row r="141" ht="12.75">
      <c r="A141" s="690"/>
    </row>
  </sheetData>
  <sheetProtection/>
  <mergeCells count="25">
    <mergeCell ref="A78:B78"/>
    <mergeCell ref="A72:B73"/>
    <mergeCell ref="A76:B76"/>
    <mergeCell ref="A77:B77"/>
    <mergeCell ref="A19:D19"/>
    <mergeCell ref="A20:D20"/>
    <mergeCell ref="A3:B3"/>
    <mergeCell ref="A10:B11"/>
    <mergeCell ref="C10:D11"/>
    <mergeCell ref="C12:D12"/>
    <mergeCell ref="C14:D14"/>
    <mergeCell ref="C15:D15"/>
    <mergeCell ref="C16:D16"/>
    <mergeCell ref="A8:B8"/>
    <mergeCell ref="C13:D13"/>
    <mergeCell ref="A4:B4"/>
    <mergeCell ref="A5:B5"/>
    <mergeCell ref="A6:B6"/>
    <mergeCell ref="A93:B93"/>
    <mergeCell ref="A94:B94"/>
    <mergeCell ref="C94:D94"/>
    <mergeCell ref="A88:B88"/>
    <mergeCell ref="A89:B89"/>
    <mergeCell ref="A90:B90"/>
    <mergeCell ref="A91:B91"/>
  </mergeCells>
  <printOptions/>
  <pageMargins left="0.1968503937007874" right="0.1968503937007874" top="0.3937007874015748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CC"/>
  </sheetPr>
  <dimension ref="A3:G87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0" style="0" hidden="1" customWidth="1"/>
    <col min="6" max="6" width="9.57421875" style="0" bestFit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0.5" customHeight="1">
      <c r="A8" s="26"/>
      <c r="B8" s="26"/>
      <c r="C8"/>
    </row>
    <row r="9" spans="1:4" ht="15">
      <c r="A9" s="1343" t="s">
        <v>118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53" t="s">
        <v>642</v>
      </c>
      <c r="B11" s="1354"/>
      <c r="C11" s="374" t="s">
        <v>643</v>
      </c>
      <c r="D11" s="496" t="s">
        <v>649</v>
      </c>
    </row>
    <row r="12" spans="1:4" ht="12.75" customHeight="1">
      <c r="A12" s="1355"/>
      <c r="B12" s="1356"/>
      <c r="C12" s="375" t="s">
        <v>119</v>
      </c>
      <c r="D12" s="375" t="s">
        <v>1022</v>
      </c>
    </row>
    <row r="13" spans="1:4" ht="12.75" customHeight="1">
      <c r="A13" s="1355"/>
      <c r="B13" s="1356"/>
      <c r="C13" s="375" t="s">
        <v>1022</v>
      </c>
      <c r="D13" s="375"/>
    </row>
    <row r="14" spans="1:4" ht="12.75">
      <c r="A14" s="1355"/>
      <c r="B14" s="1356"/>
      <c r="C14" s="375" t="s">
        <v>644</v>
      </c>
      <c r="D14" s="375" t="s">
        <v>645</v>
      </c>
    </row>
    <row r="15" spans="1:4" ht="15">
      <c r="A15" s="372" t="s">
        <v>347</v>
      </c>
      <c r="B15" s="472"/>
      <c r="C15" s="627">
        <v>125160.64</v>
      </c>
      <c r="D15" s="603">
        <v>47762.72</v>
      </c>
    </row>
    <row r="16" spans="1:4" ht="15">
      <c r="A16" s="1357" t="s">
        <v>486</v>
      </c>
      <c r="B16" s="1358"/>
      <c r="C16" s="628">
        <v>688459.2</v>
      </c>
      <c r="D16" s="608">
        <v>230877.04</v>
      </c>
    </row>
    <row r="17" spans="1:4" ht="15">
      <c r="A17" s="1359" t="s">
        <v>485</v>
      </c>
      <c r="B17" s="1360"/>
      <c r="C17" s="604">
        <v>642192.45</v>
      </c>
      <c r="D17" s="605">
        <v>206013.55</v>
      </c>
    </row>
    <row r="18" spans="1:7" ht="15">
      <c r="A18" s="1361" t="s">
        <v>348</v>
      </c>
      <c r="B18" s="1362"/>
      <c r="C18" s="603">
        <f>C15+C16-C17</f>
        <v>171427.39</v>
      </c>
      <c r="D18" s="603">
        <f>D15+D16-D17</f>
        <v>72626.21000000002</v>
      </c>
      <c r="F18" s="111"/>
      <c r="G18" s="111"/>
    </row>
    <row r="19" spans="1:4" ht="15">
      <c r="A19" s="1351" t="s">
        <v>539</v>
      </c>
      <c r="B19" s="1352"/>
      <c r="C19" s="638">
        <v>711382.26</v>
      </c>
      <c r="D19" s="630"/>
    </row>
    <row r="20" spans="1:4" ht="12.75">
      <c r="A20" s="82"/>
      <c r="B20" s="83"/>
      <c r="C20" s="83"/>
      <c r="D20" s="83"/>
    </row>
    <row r="21" spans="2:4" ht="12.75">
      <c r="B21" s="83"/>
      <c r="C21" s="81"/>
      <c r="D21" s="314"/>
    </row>
    <row r="22" spans="1:4" ht="15.75">
      <c r="A22" s="1340" t="s">
        <v>650</v>
      </c>
      <c r="B22" s="1340"/>
      <c r="C22" s="1340"/>
      <c r="D22" s="1340"/>
    </row>
    <row r="23" spans="1:4" ht="15.75">
      <c r="A23" s="1340" t="s">
        <v>346</v>
      </c>
      <c r="B23" s="1340"/>
      <c r="C23" s="1340"/>
      <c r="D23" s="1340"/>
    </row>
    <row r="24" spans="1:4" ht="12.75">
      <c r="A24" s="82"/>
      <c r="B24" s="82"/>
      <c r="C24" s="103"/>
      <c r="D24" s="82"/>
    </row>
    <row r="25" spans="1:4" ht="26.25" thickBot="1">
      <c r="A25" s="501" t="s">
        <v>892</v>
      </c>
      <c r="B25" s="502" t="s">
        <v>667</v>
      </c>
      <c r="C25" s="499" t="s">
        <v>673</v>
      </c>
      <c r="D25" s="503" t="s">
        <v>793</v>
      </c>
    </row>
    <row r="26" spans="1:4" ht="16.5" thickBot="1">
      <c r="A26" s="477" t="s">
        <v>913</v>
      </c>
      <c r="B26" s="504"/>
      <c r="C26" s="456"/>
      <c r="D26" s="468"/>
    </row>
    <row r="27" spans="1:4" ht="26.25">
      <c r="A27" s="537" t="s">
        <v>105</v>
      </c>
      <c r="B27" s="637" t="s">
        <v>652</v>
      </c>
      <c r="C27" s="536"/>
      <c r="D27" s="528">
        <v>113222.73</v>
      </c>
    </row>
    <row r="28" spans="1:4" ht="15">
      <c r="A28" s="389" t="s">
        <v>654</v>
      </c>
      <c r="B28" s="398" t="s">
        <v>656</v>
      </c>
      <c r="C28" s="398" t="s">
        <v>801</v>
      </c>
      <c r="D28" s="509">
        <v>66335.25</v>
      </c>
    </row>
    <row r="29" spans="1:4" ht="24.75">
      <c r="A29" s="537" t="s">
        <v>14</v>
      </c>
      <c r="B29" s="397" t="s">
        <v>657</v>
      </c>
      <c r="C29" s="506"/>
      <c r="D29" s="507">
        <v>82927.66</v>
      </c>
    </row>
    <row r="30" spans="1:4" ht="15">
      <c r="A30" s="389" t="s">
        <v>19</v>
      </c>
      <c r="B30" s="399" t="s">
        <v>661</v>
      </c>
      <c r="C30" s="508"/>
      <c r="D30" s="509">
        <v>26432.79</v>
      </c>
    </row>
    <row r="31" spans="1:4" ht="29.25">
      <c r="A31" s="389" t="s">
        <v>395</v>
      </c>
      <c r="B31" s="399"/>
      <c r="C31" s="508"/>
      <c r="D31" s="509">
        <v>14973.14</v>
      </c>
    </row>
    <row r="32" spans="1:4" ht="15.75" thickBot="1">
      <c r="A32" s="390" t="s">
        <v>396</v>
      </c>
      <c r="B32" s="979" t="s">
        <v>661</v>
      </c>
      <c r="C32" s="674"/>
      <c r="D32" s="459">
        <v>176.22</v>
      </c>
    </row>
    <row r="33" spans="1:4" ht="15.75" thickBot="1">
      <c r="A33" s="805" t="s">
        <v>701</v>
      </c>
      <c r="B33" s="980"/>
      <c r="C33" s="981"/>
      <c r="D33" s="839">
        <v>304067.79</v>
      </c>
    </row>
    <row r="34" spans="1:4" ht="15.75" thickBot="1">
      <c r="A34" s="487" t="s">
        <v>914</v>
      </c>
      <c r="B34" s="461"/>
      <c r="C34" s="462"/>
      <c r="D34" s="463"/>
    </row>
    <row r="35" spans="1:4" ht="15">
      <c r="A35" s="808" t="s">
        <v>733</v>
      </c>
      <c r="B35" s="514" t="s">
        <v>920</v>
      </c>
      <c r="C35" s="515" t="s">
        <v>673</v>
      </c>
      <c r="D35" s="516"/>
    </row>
    <row r="36" spans="1:4" ht="15">
      <c r="A36" s="376" t="s">
        <v>724</v>
      </c>
      <c r="B36" s="358"/>
      <c r="C36" s="377"/>
      <c r="D36" s="441">
        <v>11275.32</v>
      </c>
    </row>
    <row r="37" spans="1:4" ht="15">
      <c r="A37" s="376" t="s">
        <v>400</v>
      </c>
      <c r="B37" s="358" t="s">
        <v>478</v>
      </c>
      <c r="C37" s="377">
        <v>1</v>
      </c>
      <c r="D37" s="441">
        <v>5934.22</v>
      </c>
    </row>
    <row r="38" spans="1:4" ht="15">
      <c r="A38" s="383" t="s">
        <v>397</v>
      </c>
      <c r="B38" s="365"/>
      <c r="C38" s="421">
        <v>1</v>
      </c>
      <c r="D38" s="421">
        <v>4120</v>
      </c>
    </row>
    <row r="39" spans="1:4" ht="15">
      <c r="A39" s="359" t="s">
        <v>738</v>
      </c>
      <c r="B39" s="358" t="s">
        <v>478</v>
      </c>
      <c r="C39" s="421">
        <v>3</v>
      </c>
      <c r="D39" s="598">
        <v>16033.48</v>
      </c>
    </row>
    <row r="40" spans="1:4" ht="29.25">
      <c r="A40" s="390" t="s">
        <v>399</v>
      </c>
      <c r="B40" s="721" t="s">
        <v>478</v>
      </c>
      <c r="C40" s="616">
        <v>1</v>
      </c>
      <c r="D40" s="835">
        <v>1059.67</v>
      </c>
    </row>
    <row r="41" spans="1:4" ht="15">
      <c r="A41" s="390" t="s">
        <v>596</v>
      </c>
      <c r="B41" s="721"/>
      <c r="C41" s="421"/>
      <c r="D41" s="532">
        <v>100443</v>
      </c>
    </row>
    <row r="42" spans="1:4" ht="15.75" thickBot="1">
      <c r="A42" s="390" t="s">
        <v>398</v>
      </c>
      <c r="B42" s="1012" t="s">
        <v>478</v>
      </c>
      <c r="C42" s="674">
        <v>2</v>
      </c>
      <c r="D42" s="459">
        <v>6786.29</v>
      </c>
    </row>
    <row r="43" spans="1:4" ht="15.75" thickBot="1">
      <c r="A43" s="806" t="s">
        <v>701</v>
      </c>
      <c r="B43" s="957"/>
      <c r="C43" s="1013"/>
      <c r="D43" s="863">
        <v>145651.98</v>
      </c>
    </row>
    <row r="44" spans="1:4" ht="15">
      <c r="A44" s="808" t="s">
        <v>21</v>
      </c>
      <c r="B44" s="376"/>
      <c r="C44" s="377"/>
      <c r="D44" s="441"/>
    </row>
    <row r="45" spans="1:4" ht="15">
      <c r="A45" s="359" t="s">
        <v>174</v>
      </c>
      <c r="B45" s="361" t="s">
        <v>478</v>
      </c>
      <c r="C45" s="363">
        <v>5</v>
      </c>
      <c r="D45" s="555">
        <v>4389.55</v>
      </c>
    </row>
    <row r="46" spans="1:4" ht="15.75" thickBot="1">
      <c r="A46" s="807" t="s">
        <v>446</v>
      </c>
      <c r="B46" s="381"/>
      <c r="C46" s="1014">
        <v>1</v>
      </c>
      <c r="D46" s="425">
        <v>439.55</v>
      </c>
    </row>
    <row r="47" spans="1:4" ht="15.75" thickBot="1">
      <c r="A47" s="806" t="s">
        <v>701</v>
      </c>
      <c r="B47" s="957"/>
      <c r="C47" s="1013"/>
      <c r="D47" s="533">
        <v>4829.1</v>
      </c>
    </row>
    <row r="48" spans="1:4" ht="15">
      <c r="A48" s="969" t="s">
        <v>23</v>
      </c>
      <c r="B48" s="1025" t="s">
        <v>478</v>
      </c>
      <c r="C48" s="1026">
        <v>6</v>
      </c>
      <c r="D48" s="1027"/>
    </row>
    <row r="49" spans="1:4" ht="15">
      <c r="A49" s="359" t="s">
        <v>393</v>
      </c>
      <c r="B49" s="358"/>
      <c r="C49" s="359">
        <v>3</v>
      </c>
      <c r="D49" s="532">
        <v>2573.58</v>
      </c>
    </row>
    <row r="50" spans="1:4" ht="15.75" thickBot="1">
      <c r="A50" s="799" t="s">
        <v>239</v>
      </c>
      <c r="B50" s="964" t="s">
        <v>478</v>
      </c>
      <c r="C50" s="1016">
        <v>1</v>
      </c>
      <c r="D50" s="810">
        <v>646.19</v>
      </c>
    </row>
    <row r="51" spans="1:4" ht="15.75" thickBot="1">
      <c r="A51" s="806" t="s">
        <v>701</v>
      </c>
      <c r="B51" s="802"/>
      <c r="C51" s="1017"/>
      <c r="D51" s="841">
        <v>3219.77</v>
      </c>
    </row>
    <row r="52" spans="1:4" ht="15">
      <c r="A52" s="808" t="s">
        <v>27</v>
      </c>
      <c r="B52" s="1015"/>
      <c r="C52" s="385">
        <v>2</v>
      </c>
      <c r="D52" s="896"/>
    </row>
    <row r="53" spans="1:4" ht="15">
      <c r="A53" s="377" t="s">
        <v>212</v>
      </c>
      <c r="B53" s="361" t="s">
        <v>81</v>
      </c>
      <c r="C53" s="363">
        <v>1</v>
      </c>
      <c r="D53" s="424">
        <v>3159.85</v>
      </c>
    </row>
    <row r="54" spans="1:4" ht="15">
      <c r="A54" s="359" t="s">
        <v>401</v>
      </c>
      <c r="B54" s="978"/>
      <c r="C54" s="807">
        <v>3</v>
      </c>
      <c r="D54" s="424">
        <v>6064.96</v>
      </c>
    </row>
    <row r="55" spans="1:4" ht="15.75" thickBot="1">
      <c r="A55" s="807" t="s">
        <v>882</v>
      </c>
      <c r="B55" s="1035"/>
      <c r="C55" s="1036"/>
      <c r="D55" s="1037">
        <v>5083.99</v>
      </c>
    </row>
    <row r="56" spans="1:4" ht="15.75" thickBot="1">
      <c r="A56" s="806" t="s">
        <v>701</v>
      </c>
      <c r="B56" s="1018"/>
      <c r="C56" s="1013"/>
      <c r="D56" s="533">
        <v>14308.8</v>
      </c>
    </row>
    <row r="57" spans="1:4" ht="15">
      <c r="A57" s="808" t="s">
        <v>594</v>
      </c>
      <c r="B57" s="364"/>
      <c r="C57" s="359"/>
      <c r="D57" s="424"/>
    </row>
    <row r="58" spans="1:4" ht="15">
      <c r="A58" s="377" t="s">
        <v>54</v>
      </c>
      <c r="B58" s="978" t="s">
        <v>885</v>
      </c>
      <c r="C58" s="807">
        <v>12</v>
      </c>
      <c r="D58" s="424">
        <v>9244.63</v>
      </c>
    </row>
    <row r="59" spans="1:4" ht="15">
      <c r="A59" s="377" t="s">
        <v>66</v>
      </c>
      <c r="B59" s="978" t="s">
        <v>478</v>
      </c>
      <c r="C59" s="807">
        <v>1</v>
      </c>
      <c r="D59" s="424">
        <v>5182.97</v>
      </c>
    </row>
    <row r="60" spans="1:4" ht="15">
      <c r="A60" s="377" t="s">
        <v>447</v>
      </c>
      <c r="B60" s="978" t="s">
        <v>52</v>
      </c>
      <c r="C60" s="807">
        <v>1</v>
      </c>
      <c r="D60" s="424">
        <v>45.93</v>
      </c>
    </row>
    <row r="61" spans="1:4" ht="15">
      <c r="A61" s="377" t="s">
        <v>90</v>
      </c>
      <c r="B61" s="978" t="s">
        <v>478</v>
      </c>
      <c r="C61" s="807">
        <v>2</v>
      </c>
      <c r="D61" s="424">
        <v>699.98</v>
      </c>
    </row>
    <row r="62" spans="1:4" ht="15">
      <c r="A62" s="359" t="s">
        <v>886</v>
      </c>
      <c r="B62" s="978"/>
      <c r="C62" s="807">
        <v>10</v>
      </c>
      <c r="D62" s="424">
        <v>2963.73</v>
      </c>
    </row>
    <row r="63" spans="1:4" ht="15.75" thickBot="1">
      <c r="A63" s="807" t="s">
        <v>402</v>
      </c>
      <c r="B63" s="1029"/>
      <c r="C63" s="1030">
        <v>13</v>
      </c>
      <c r="D63" s="1031">
        <v>31297.63</v>
      </c>
    </row>
    <row r="64" spans="1:4" ht="15.75" thickBot="1">
      <c r="A64" s="805" t="s">
        <v>701</v>
      </c>
      <c r="B64" s="817"/>
      <c r="C64" s="1020"/>
      <c r="D64" s="939">
        <v>49434.87</v>
      </c>
    </row>
    <row r="65" spans="1:4" ht="15.75" thickBot="1">
      <c r="A65" s="821" t="s">
        <v>375</v>
      </c>
      <c r="B65" s="964"/>
      <c r="C65" s="964"/>
      <c r="D65" s="1028">
        <v>217444.52</v>
      </c>
    </row>
    <row r="66" spans="1:4" ht="15" thickBot="1">
      <c r="A66" s="799"/>
      <c r="B66" s="957"/>
      <c r="C66" s="1021"/>
      <c r="D66" s="892"/>
    </row>
    <row r="67" spans="1:4" ht="15.75" thickBot="1">
      <c r="A67" s="894" t="s">
        <v>903</v>
      </c>
      <c r="B67" s="1022"/>
      <c r="C67" s="1023"/>
      <c r="D67" s="863">
        <v>24563.49</v>
      </c>
    </row>
    <row r="68" spans="1:4" ht="15.75" thickBot="1">
      <c r="A68" s="894" t="s">
        <v>376</v>
      </c>
      <c r="B68" s="957"/>
      <c r="C68" s="1024"/>
      <c r="D68" s="858">
        <v>33924.27</v>
      </c>
    </row>
    <row r="69" spans="1:4" ht="15.75" thickBot="1">
      <c r="A69" s="837" t="s">
        <v>735</v>
      </c>
      <c r="B69" s="964"/>
      <c r="C69" s="661"/>
      <c r="D69" s="1249">
        <v>131382.19</v>
      </c>
    </row>
    <row r="70" spans="1:4" ht="15.75" thickBot="1">
      <c r="A70" s="973"/>
      <c r="B70" s="802"/>
      <c r="C70" s="1023"/>
      <c r="D70" s="826"/>
    </row>
    <row r="71" spans="1:4" ht="15.75" thickBot="1">
      <c r="A71" s="806" t="s">
        <v>918</v>
      </c>
      <c r="B71" s="1032"/>
      <c r="C71" s="1033"/>
      <c r="D71" s="1034">
        <v>711382.26</v>
      </c>
    </row>
    <row r="72" spans="1:4" ht="15">
      <c r="A72" s="370"/>
      <c r="B72" s="370"/>
      <c r="C72" s="370"/>
      <c r="D72" s="371"/>
    </row>
    <row r="73" spans="1:4" ht="15">
      <c r="A73" s="370"/>
      <c r="B73" s="370"/>
      <c r="C73" s="370"/>
      <c r="D73" s="371"/>
    </row>
    <row r="74" spans="1:4" ht="12.75">
      <c r="A74" s="1353"/>
      <c r="B74" s="1354"/>
      <c r="C74" s="374"/>
      <c r="D74" s="442"/>
    </row>
    <row r="75" spans="1:4" ht="12.75">
      <c r="A75" s="1355"/>
      <c r="B75" s="1356"/>
      <c r="C75" s="559"/>
      <c r="D75" s="559"/>
    </row>
    <row r="76" spans="1:4" ht="15">
      <c r="A76" s="1251" t="s">
        <v>568</v>
      </c>
      <c r="B76" s="1257"/>
      <c r="C76" s="467"/>
      <c r="D76" s="467">
        <v>0</v>
      </c>
    </row>
    <row r="77" spans="1:4" ht="15">
      <c r="A77" s="1332" t="s">
        <v>569</v>
      </c>
      <c r="B77" s="1332"/>
      <c r="C77" s="628"/>
      <c r="D77" s="608">
        <v>642192.45</v>
      </c>
    </row>
    <row r="78" spans="1:4" ht="15">
      <c r="A78" s="1332" t="s">
        <v>570</v>
      </c>
      <c r="B78" s="1332"/>
      <c r="C78" s="607"/>
      <c r="D78" s="608">
        <v>711382.26</v>
      </c>
    </row>
    <row r="79" spans="1:4" ht="15">
      <c r="A79" s="1333" t="s">
        <v>571</v>
      </c>
      <c r="B79" s="1333"/>
      <c r="C79" s="629"/>
      <c r="D79" s="629">
        <v>69189.81</v>
      </c>
    </row>
    <row r="80" spans="1:4" ht="15">
      <c r="A80" s="1332" t="s">
        <v>179</v>
      </c>
      <c r="B80" s="1332"/>
      <c r="C80" s="1258"/>
      <c r="D80" s="630">
        <v>69189.81</v>
      </c>
    </row>
    <row r="83" spans="1:3" ht="12.75">
      <c r="A83" s="1" t="s">
        <v>853</v>
      </c>
      <c r="C83" s="1" t="s">
        <v>573</v>
      </c>
    </row>
    <row r="85" ht="12.75">
      <c r="A85" s="735" t="s">
        <v>357</v>
      </c>
    </row>
    <row r="86" ht="12.75">
      <c r="A86" s="735" t="s">
        <v>906</v>
      </c>
    </row>
    <row r="87" ht="12.75">
      <c r="A87" s="735" t="s">
        <v>358</v>
      </c>
    </row>
  </sheetData>
  <sheetProtection/>
  <mergeCells count="17">
    <mergeCell ref="A80:B80"/>
    <mergeCell ref="A74:B75"/>
    <mergeCell ref="A77:B77"/>
    <mergeCell ref="A78:B78"/>
    <mergeCell ref="A79:B79"/>
    <mergeCell ref="A9:B9"/>
    <mergeCell ref="A11:B14"/>
    <mergeCell ref="A4:B4"/>
    <mergeCell ref="A5:B5"/>
    <mergeCell ref="A6:B6"/>
    <mergeCell ref="A7:B7"/>
    <mergeCell ref="A22:D22"/>
    <mergeCell ref="A23:D23"/>
    <mergeCell ref="A16:B16"/>
    <mergeCell ref="A17:B17"/>
    <mergeCell ref="A18:B18"/>
    <mergeCell ref="A19:B1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4.57421875" style="0" customWidth="1"/>
    <col min="2" max="2" width="14.00390625" style="0" customWidth="1"/>
    <col min="3" max="4" width="12.00390625" style="0" customWidth="1"/>
    <col min="5" max="5" width="9.57421875" style="0" bestFit="1" customWidth="1"/>
    <col min="7" max="7" width="9.57421875" style="0" bestFit="1" customWidth="1"/>
  </cols>
  <sheetData>
    <row r="1" spans="1:4" ht="12.75">
      <c r="A1" s="1"/>
      <c r="B1" s="1"/>
      <c r="C1" s="1364" t="s">
        <v>792</v>
      </c>
      <c r="D1" s="1364"/>
    </row>
    <row r="2" spans="1:4" ht="22.5">
      <c r="A2" s="1365" t="s">
        <v>687</v>
      </c>
      <c r="B2" s="1365"/>
      <c r="C2" s="140"/>
      <c r="D2" s="140"/>
    </row>
    <row r="3" spans="1:4" ht="15.75">
      <c r="A3" s="1363" t="s">
        <v>497</v>
      </c>
      <c r="B3" s="1363"/>
      <c r="C3" s="91"/>
      <c r="D3" s="91"/>
    </row>
    <row r="4" spans="1:4" ht="15.75">
      <c r="A4" s="1363" t="s">
        <v>641</v>
      </c>
      <c r="B4" s="1363"/>
      <c r="C4" s="91"/>
      <c r="D4" s="91"/>
    </row>
    <row r="5" spans="1:4" ht="15.75">
      <c r="A5" s="1363" t="s">
        <v>804</v>
      </c>
      <c r="B5" s="1363"/>
      <c r="C5" s="91"/>
      <c r="D5" s="91"/>
    </row>
    <row r="6" spans="1:4" ht="11.25" customHeight="1">
      <c r="A6" s="417"/>
      <c r="B6" s="417"/>
      <c r="D6" s="1"/>
    </row>
    <row r="7" spans="1:4" ht="15">
      <c r="A7" s="1343" t="s">
        <v>116</v>
      </c>
      <c r="B7" s="1343"/>
      <c r="C7" s="139"/>
      <c r="D7" s="139"/>
    </row>
    <row r="8" spans="1:4" ht="14.25">
      <c r="A8" s="418"/>
      <c r="B8" s="418"/>
      <c r="C8" s="139"/>
      <c r="D8" s="139"/>
    </row>
    <row r="9" spans="1:4" ht="38.25">
      <c r="A9" s="1353" t="s">
        <v>642</v>
      </c>
      <c r="B9" s="1354"/>
      <c r="C9" s="374" t="s">
        <v>643</v>
      </c>
      <c r="D9" s="442" t="s">
        <v>649</v>
      </c>
    </row>
    <row r="10" spans="1:4" ht="12.75">
      <c r="A10" s="1355"/>
      <c r="B10" s="1356"/>
      <c r="C10" s="559" t="s">
        <v>644</v>
      </c>
      <c r="D10" s="559" t="s">
        <v>645</v>
      </c>
    </row>
    <row r="11" spans="1:4" ht="15">
      <c r="A11" s="372" t="s">
        <v>347</v>
      </c>
      <c r="B11" s="472"/>
      <c r="C11" s="577">
        <v>163046.71</v>
      </c>
      <c r="D11" s="577">
        <v>40875.1</v>
      </c>
    </row>
    <row r="12" spans="1:4" ht="15">
      <c r="A12" s="1357" t="s">
        <v>486</v>
      </c>
      <c r="B12" s="1358"/>
      <c r="C12" s="628">
        <v>312734.4</v>
      </c>
      <c r="D12" s="608">
        <v>73003</v>
      </c>
    </row>
    <row r="13" spans="1:4" ht="15">
      <c r="A13" s="1359" t="s">
        <v>485</v>
      </c>
      <c r="B13" s="1360"/>
      <c r="C13" s="604">
        <v>272614.14</v>
      </c>
      <c r="D13" s="605">
        <v>72007.48</v>
      </c>
    </row>
    <row r="14" spans="1:4" ht="15">
      <c r="A14" s="1361" t="s">
        <v>348</v>
      </c>
      <c r="B14" s="1362"/>
      <c r="C14" s="629">
        <f>C11+C12-C13</f>
        <v>203166.96999999997</v>
      </c>
      <c r="D14" s="629">
        <f>D11+D12-D13</f>
        <v>41870.62000000001</v>
      </c>
    </row>
    <row r="15" spans="1:4" ht="15">
      <c r="A15" s="1351" t="s">
        <v>540</v>
      </c>
      <c r="B15" s="1352"/>
      <c r="C15" s="638">
        <v>258312.19</v>
      </c>
      <c r="D15" s="630"/>
    </row>
    <row r="16" spans="1:4" ht="12.75">
      <c r="A16" s="1"/>
      <c r="B16" s="83"/>
      <c r="C16" s="81"/>
      <c r="D16" s="314"/>
    </row>
    <row r="17" spans="1:4" ht="15.75">
      <c r="A17" s="1340" t="s">
        <v>650</v>
      </c>
      <c r="B17" s="1340"/>
      <c r="C17" s="1340"/>
      <c r="D17" s="1340"/>
    </row>
    <row r="18" spans="1:4" ht="15.75">
      <c r="A18" s="1340" t="s">
        <v>345</v>
      </c>
      <c r="B18" s="1340"/>
      <c r="C18" s="1340"/>
      <c r="D18" s="1340"/>
    </row>
    <row r="19" spans="1:4" ht="12.75">
      <c r="A19" s="82"/>
      <c r="B19" s="82"/>
      <c r="C19" s="103"/>
      <c r="D19" s="82"/>
    </row>
    <row r="20" spans="1:4" ht="26.25" thickBot="1">
      <c r="A20" s="408" t="s">
        <v>468</v>
      </c>
      <c r="B20" s="451" t="s">
        <v>667</v>
      </c>
      <c r="C20" s="452" t="s">
        <v>673</v>
      </c>
      <c r="D20" s="453" t="s">
        <v>793</v>
      </c>
    </row>
    <row r="21" spans="1:4" ht="16.5" thickBot="1">
      <c r="A21" s="636" t="s">
        <v>18</v>
      </c>
      <c r="B21" s="455"/>
      <c r="C21" s="456"/>
      <c r="D21" s="468"/>
    </row>
    <row r="22" spans="1:7" ht="26.25" customHeight="1">
      <c r="A22" s="537" t="s">
        <v>16</v>
      </c>
      <c r="B22" s="637" t="s">
        <v>652</v>
      </c>
      <c r="C22" s="632"/>
      <c r="D22" s="631">
        <v>51322.03</v>
      </c>
      <c r="E22" s="111"/>
      <c r="G22" s="111"/>
    </row>
    <row r="23" spans="1:4" ht="18" customHeight="1">
      <c r="A23" s="389" t="s">
        <v>15</v>
      </c>
      <c r="B23" s="449" t="s">
        <v>656</v>
      </c>
      <c r="C23" s="445" t="s">
        <v>801</v>
      </c>
      <c r="D23" s="393">
        <v>30068.69</v>
      </c>
    </row>
    <row r="24" spans="1:5" ht="15">
      <c r="A24" s="389" t="s">
        <v>14</v>
      </c>
      <c r="B24" s="450" t="s">
        <v>657</v>
      </c>
      <c r="C24" s="404"/>
      <c r="D24" s="396">
        <v>37589.76</v>
      </c>
      <c r="E24" s="111"/>
    </row>
    <row r="25" spans="1:5" ht="15.75">
      <c r="A25" s="389" t="s">
        <v>17</v>
      </c>
      <c r="B25" s="448"/>
      <c r="C25" s="400"/>
      <c r="D25" s="393">
        <v>7300.91</v>
      </c>
      <c r="E25" s="420"/>
    </row>
    <row r="26" spans="1:5" ht="16.5" thickBot="1">
      <c r="A26" s="390"/>
      <c r="B26" s="457"/>
      <c r="C26" s="458"/>
      <c r="D26" s="459"/>
      <c r="E26" s="420"/>
    </row>
    <row r="27" spans="1:5" ht="16.5" thickBot="1">
      <c r="A27" s="805" t="s">
        <v>901</v>
      </c>
      <c r="B27" s="795"/>
      <c r="C27" s="796"/>
      <c r="D27" s="839">
        <v>126281.39</v>
      </c>
      <c r="E27" s="840"/>
    </row>
    <row r="28" spans="1:4" ht="16.5" thickBot="1">
      <c r="A28" s="460" t="s">
        <v>898</v>
      </c>
      <c r="B28" s="461"/>
      <c r="C28" s="462"/>
      <c r="D28" s="463"/>
    </row>
    <row r="29" spans="1:4" ht="24">
      <c r="A29" s="465" t="s">
        <v>20</v>
      </c>
      <c r="B29" s="433" t="s">
        <v>920</v>
      </c>
      <c r="C29" s="443" t="s">
        <v>673</v>
      </c>
      <c r="D29" s="444" t="s">
        <v>793</v>
      </c>
    </row>
    <row r="30" spans="1:4" ht="14.25">
      <c r="A30" s="377" t="s">
        <v>907</v>
      </c>
      <c r="B30" s="433"/>
      <c r="C30" s="443"/>
      <c r="D30" s="444">
        <v>10615</v>
      </c>
    </row>
    <row r="31" spans="1:4" ht="15">
      <c r="A31" s="377" t="s">
        <v>908</v>
      </c>
      <c r="B31" s="433"/>
      <c r="C31" s="443"/>
      <c r="D31" s="434">
        <v>5238.12</v>
      </c>
    </row>
    <row r="32" spans="1:4" ht="15">
      <c r="A32" s="377" t="s">
        <v>19</v>
      </c>
      <c r="B32" s="433"/>
      <c r="C32" s="443"/>
      <c r="D32" s="434">
        <v>4888.38</v>
      </c>
    </row>
    <row r="33" spans="1:5" ht="15" customHeight="1" thickBot="1">
      <c r="A33" s="799" t="s">
        <v>689</v>
      </c>
      <c r="B33" s="381"/>
      <c r="C33" s="439"/>
      <c r="D33" s="439">
        <v>5850</v>
      </c>
      <c r="E33" s="420"/>
    </row>
    <row r="34" spans="1:5" ht="15" customHeight="1" thickBot="1">
      <c r="A34" s="806" t="s">
        <v>901</v>
      </c>
      <c r="B34" s="802"/>
      <c r="C34" s="803"/>
      <c r="D34" s="841">
        <v>26591.5</v>
      </c>
      <c r="E34" s="420"/>
    </row>
    <row r="35" spans="1:4" ht="15">
      <c r="A35" s="465" t="s">
        <v>21</v>
      </c>
      <c r="B35" s="800"/>
      <c r="C35" s="441"/>
      <c r="D35" s="801"/>
    </row>
    <row r="36" spans="1:4" ht="15.75" thickBot="1">
      <c r="A36" s="807" t="s">
        <v>22</v>
      </c>
      <c r="B36" s="758" t="s">
        <v>478</v>
      </c>
      <c r="C36" s="809">
        <v>3</v>
      </c>
      <c r="D36" s="424">
        <v>1671.14</v>
      </c>
    </row>
    <row r="37" spans="1:4" ht="15.75" thickBot="1">
      <c r="A37" s="806" t="s">
        <v>901</v>
      </c>
      <c r="B37" s="811"/>
      <c r="C37" s="812"/>
      <c r="D37" s="841">
        <v>1671.14</v>
      </c>
    </row>
    <row r="38" spans="1:4" ht="15">
      <c r="A38" s="808" t="s">
        <v>23</v>
      </c>
      <c r="B38" s="570"/>
      <c r="C38" s="441"/>
      <c r="D38" s="810"/>
    </row>
    <row r="39" spans="1:4" ht="15">
      <c r="A39" s="359" t="s">
        <v>24</v>
      </c>
      <c r="B39" s="365"/>
      <c r="C39" s="359"/>
      <c r="D39" s="425">
        <v>26603</v>
      </c>
    </row>
    <row r="40" spans="1:4" ht="15">
      <c r="A40" s="359" t="s">
        <v>25</v>
      </c>
      <c r="B40" s="365"/>
      <c r="C40" s="421"/>
      <c r="D40" s="424">
        <v>2252.15</v>
      </c>
    </row>
    <row r="41" spans="1:4" ht="15.75" thickBot="1">
      <c r="A41" s="807" t="s">
        <v>26</v>
      </c>
      <c r="B41" s="758"/>
      <c r="C41" s="439"/>
      <c r="D41" s="425">
        <v>2507.28</v>
      </c>
    </row>
    <row r="42" spans="1:4" ht="15.75" thickBot="1">
      <c r="A42" s="806" t="s">
        <v>901</v>
      </c>
      <c r="B42" s="811"/>
      <c r="C42" s="803"/>
      <c r="D42" s="533">
        <v>31362.43</v>
      </c>
    </row>
    <row r="43" spans="1:4" ht="15">
      <c r="A43" s="813" t="s">
        <v>27</v>
      </c>
      <c r="B43" s="814"/>
      <c r="C43" s="625"/>
      <c r="D43" s="626"/>
    </row>
    <row r="44" spans="1:4" ht="15">
      <c r="A44" s="540" t="s">
        <v>882</v>
      </c>
      <c r="B44" s="822"/>
      <c r="C44" s="820"/>
      <c r="D44" s="512">
        <v>3051.9</v>
      </c>
    </row>
    <row r="45" spans="1:4" ht="15.75" thickBot="1">
      <c r="A45" s="390" t="s">
        <v>899</v>
      </c>
      <c r="B45" s="816"/>
      <c r="C45" s="673"/>
      <c r="D45" s="650"/>
    </row>
    <row r="46" spans="1:4" ht="15.75" thickBot="1">
      <c r="A46" s="805" t="s">
        <v>901</v>
      </c>
      <c r="B46" s="817"/>
      <c r="C46" s="818"/>
      <c r="D46" s="839">
        <v>3051.9</v>
      </c>
    </row>
    <row r="47" spans="1:4" ht="15">
      <c r="A47" s="813" t="s">
        <v>900</v>
      </c>
      <c r="B47" s="814"/>
      <c r="C47" s="625"/>
      <c r="D47" s="626"/>
    </row>
    <row r="48" spans="1:4" ht="15.75" thickBot="1">
      <c r="A48" s="390" t="s">
        <v>886</v>
      </c>
      <c r="B48" s="747" t="s">
        <v>478</v>
      </c>
      <c r="C48" s="490">
        <v>2</v>
      </c>
      <c r="D48" s="523">
        <v>915.01</v>
      </c>
    </row>
    <row r="49" spans="1:4" ht="15.75" thickBot="1">
      <c r="A49" s="805" t="s">
        <v>901</v>
      </c>
      <c r="B49" s="817"/>
      <c r="C49" s="818"/>
      <c r="D49" s="839">
        <v>915.01</v>
      </c>
    </row>
    <row r="50" spans="1:4" ht="15.75" thickBot="1">
      <c r="A50" s="805" t="s">
        <v>902</v>
      </c>
      <c r="B50" s="817"/>
      <c r="C50" s="818"/>
      <c r="D50" s="839">
        <v>63591.98</v>
      </c>
    </row>
    <row r="51" spans="1:4" ht="15.75" thickBot="1">
      <c r="A51" s="821" t="s">
        <v>903</v>
      </c>
      <c r="B51" s="817"/>
      <c r="C51" s="818"/>
      <c r="D51" s="839">
        <v>11134.23</v>
      </c>
    </row>
    <row r="52" spans="1:4" ht="15.75" thickBot="1">
      <c r="A52" s="821" t="s">
        <v>904</v>
      </c>
      <c r="B52" s="819"/>
      <c r="C52" s="820"/>
      <c r="D52" s="842">
        <v>9598</v>
      </c>
    </row>
    <row r="53" spans="1:4" ht="15.75" thickBot="1">
      <c r="A53" s="798" t="s">
        <v>905</v>
      </c>
      <c r="B53" s="817"/>
      <c r="C53" s="818"/>
      <c r="D53" s="839">
        <v>47706.59</v>
      </c>
    </row>
    <row r="54" spans="1:4" ht="15.75" thickBot="1">
      <c r="A54" s="813"/>
      <c r="B54" s="822"/>
      <c r="C54" s="820"/>
      <c r="D54" s="512"/>
    </row>
    <row r="55" spans="1:4" ht="15.75" thickBot="1">
      <c r="A55" s="823" t="s">
        <v>36</v>
      </c>
      <c r="B55" s="811"/>
      <c r="C55" s="803"/>
      <c r="D55" s="533">
        <v>258312.19</v>
      </c>
    </row>
    <row r="56" spans="1:4" ht="12.75">
      <c r="A56" s="1353"/>
      <c r="B56" s="1354"/>
      <c r="C56" s="374"/>
      <c r="D56" s="442"/>
    </row>
    <row r="57" spans="1:4" ht="12.75">
      <c r="A57" s="1355"/>
      <c r="B57" s="1356"/>
      <c r="C57" s="559"/>
      <c r="D57" s="559"/>
    </row>
    <row r="58" spans="1:4" ht="15">
      <c r="A58" s="372" t="s">
        <v>568</v>
      </c>
      <c r="B58" s="472"/>
      <c r="C58" s="577"/>
      <c r="D58" s="577">
        <v>0</v>
      </c>
    </row>
    <row r="59" spans="1:4" ht="15">
      <c r="A59" s="1357" t="s">
        <v>569</v>
      </c>
      <c r="B59" s="1358"/>
      <c r="C59" s="628"/>
      <c r="D59" s="608">
        <v>272614.14</v>
      </c>
    </row>
    <row r="60" spans="1:4" ht="15">
      <c r="A60" s="1359" t="s">
        <v>570</v>
      </c>
      <c r="B60" s="1360"/>
      <c r="C60" s="604"/>
      <c r="D60" s="605">
        <v>258312.19</v>
      </c>
    </row>
    <row r="61" spans="1:4" ht="15">
      <c r="A61" s="1361" t="s">
        <v>571</v>
      </c>
      <c r="B61" s="1362"/>
      <c r="C61" s="629"/>
      <c r="D61" s="629">
        <v>-14301.95</v>
      </c>
    </row>
    <row r="62" spans="1:4" ht="15">
      <c r="A62" s="1351" t="s">
        <v>179</v>
      </c>
      <c r="B62" s="1352"/>
      <c r="C62" s="681"/>
      <c r="D62" s="630">
        <v>-14301.95</v>
      </c>
    </row>
    <row r="63" spans="1:4" ht="11.25" customHeight="1">
      <c r="A63" s="735"/>
      <c r="C63" s="596"/>
      <c r="D63" s="11"/>
    </row>
    <row r="64" ht="12.75">
      <c r="A64" s="735"/>
    </row>
    <row r="67" spans="1:2" ht="12.75">
      <c r="A67" t="s">
        <v>572</v>
      </c>
      <c r="B67" t="s">
        <v>573</v>
      </c>
    </row>
    <row r="71" ht="12.75">
      <c r="A71" t="s">
        <v>574</v>
      </c>
    </row>
    <row r="72" ht="12.75">
      <c r="A72" t="s">
        <v>632</v>
      </c>
    </row>
    <row r="97" ht="12.75">
      <c r="A97" s="690"/>
    </row>
    <row r="98" ht="12.75">
      <c r="A98" s="690"/>
    </row>
    <row r="99" ht="12.75">
      <c r="A99" s="690"/>
    </row>
    <row r="100" ht="12.75">
      <c r="A100" s="735"/>
    </row>
    <row r="101" ht="12.75">
      <c r="A101" s="735"/>
    </row>
    <row r="102" ht="12.75">
      <c r="A102" s="735"/>
    </row>
  </sheetData>
  <sheetProtection/>
  <mergeCells count="18">
    <mergeCell ref="A3:B3"/>
    <mergeCell ref="A4:B4"/>
    <mergeCell ref="A5:B5"/>
    <mergeCell ref="C1:D1"/>
    <mergeCell ref="A2:B2"/>
    <mergeCell ref="A17:D17"/>
    <mergeCell ref="A18:D18"/>
    <mergeCell ref="A14:B14"/>
    <mergeCell ref="A7:B7"/>
    <mergeCell ref="A9:B10"/>
    <mergeCell ref="A12:B12"/>
    <mergeCell ref="A13:B13"/>
    <mergeCell ref="A15:B15"/>
    <mergeCell ref="A62:B62"/>
    <mergeCell ref="A56:B57"/>
    <mergeCell ref="A59:B59"/>
    <mergeCell ref="A60:B60"/>
    <mergeCell ref="A61:B61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0">
      <selection activeCell="D48" sqref="D48"/>
    </sheetView>
  </sheetViews>
  <sheetFormatPr defaultColWidth="9.140625" defaultRowHeight="12.75"/>
  <cols>
    <col min="1" max="1" width="60.140625" style="1" customWidth="1"/>
    <col min="2" max="2" width="10.8515625" style="1" customWidth="1"/>
    <col min="3" max="3" width="15.42187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9.75" customHeight="1">
      <c r="A6" s="26"/>
      <c r="B6" s="26"/>
      <c r="C6"/>
    </row>
    <row r="7" spans="1:4" ht="15">
      <c r="A7" s="1343" t="s">
        <v>943</v>
      </c>
      <c r="B7" s="1343"/>
      <c r="C7" s="139"/>
      <c r="D7" s="139"/>
    </row>
    <row r="8" spans="1:3" ht="7.5" customHeight="1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534.44+133866.19</f>
        <v>134400.63</v>
      </c>
      <c r="D11" s="136">
        <v>12071.29</v>
      </c>
    </row>
    <row r="12" spans="1:4" ht="15.75" thickBot="1">
      <c r="A12" s="1341" t="s">
        <v>646</v>
      </c>
      <c r="B12" s="1342"/>
      <c r="C12" s="137">
        <f>3307.36+1100252.36</f>
        <v>1103559.7200000002</v>
      </c>
      <c r="D12" s="136">
        <v>26151.78</v>
      </c>
    </row>
    <row r="13" spans="1:4" ht="15.75" thickBot="1">
      <c r="A13" s="1341" t="s">
        <v>647</v>
      </c>
      <c r="B13" s="1342"/>
      <c r="C13" s="135">
        <f>3846.46+1084696.72</f>
        <v>1088543.18</v>
      </c>
      <c r="D13" s="136">
        <v>37205.94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149417.17000000016</v>
      </c>
      <c r="D15" s="136">
        <f>D11+D12-D13</f>
        <v>1017.1299999999974</v>
      </c>
    </row>
    <row r="16" spans="1:4" ht="15.75" thickBot="1">
      <c r="A16" s="1341" t="s">
        <v>806</v>
      </c>
      <c r="B16" s="1342"/>
      <c r="C16" s="170">
        <f>D22+D43</f>
        <v>995465.44</v>
      </c>
      <c r="D16" s="138"/>
    </row>
    <row r="17" spans="2:3" ht="9" customHeight="1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8.25" customHeight="1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D23+D24+D25+D26+D27</f>
        <v>338945.16</v>
      </c>
    </row>
    <row r="23" spans="1:4" ht="26.25" thickBot="1">
      <c r="A23" s="166" t="s">
        <v>662</v>
      </c>
      <c r="B23" s="64" t="s">
        <v>652</v>
      </c>
      <c r="C23" s="45"/>
      <c r="D23" s="171">
        <v>109909.92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80806.25</v>
      </c>
    </row>
    <row r="25" spans="1:4" ht="25.5" thickBot="1">
      <c r="A25" s="133" t="s">
        <v>658</v>
      </c>
      <c r="B25" s="168" t="s">
        <v>657</v>
      </c>
      <c r="C25" s="145"/>
      <c r="D25" s="171">
        <v>125863.14</v>
      </c>
    </row>
    <row r="26" spans="1:4" ht="15.75" thickBot="1">
      <c r="A26" s="133" t="s">
        <v>799</v>
      </c>
      <c r="B26" s="181" t="s">
        <v>661</v>
      </c>
      <c r="C26" s="182"/>
      <c r="D26" s="183">
        <v>6000</v>
      </c>
    </row>
    <row r="27" spans="1:4" ht="15.75" thickBot="1">
      <c r="A27" s="147" t="s">
        <v>685</v>
      </c>
      <c r="B27" s="184" t="s">
        <v>817</v>
      </c>
      <c r="C27" s="45" t="s">
        <v>801</v>
      </c>
      <c r="D27" s="186">
        <v>16365.85</v>
      </c>
    </row>
    <row r="28" spans="1:4" ht="15.75" thickBot="1">
      <c r="A28" s="148" t="s">
        <v>760</v>
      </c>
      <c r="B28" s="149"/>
      <c r="C28" s="139"/>
      <c r="D28" s="175">
        <f>D30+D32+D33+D34+D35+D37+D38+D39</f>
        <v>197730.25</v>
      </c>
    </row>
    <row r="29" spans="1:4" ht="24.75" thickBot="1">
      <c r="A29" s="150" t="s">
        <v>672</v>
      </c>
      <c r="B29" s="15" t="s">
        <v>920</v>
      </c>
      <c r="C29" s="49" t="s">
        <v>673</v>
      </c>
      <c r="D29" s="176" t="s">
        <v>793</v>
      </c>
    </row>
    <row r="30" spans="1:4" ht="14.25">
      <c r="A30" s="188" t="s">
        <v>930</v>
      </c>
      <c r="B30" s="74" t="s">
        <v>661</v>
      </c>
      <c r="C30" s="153"/>
      <c r="D30" s="177">
        <v>34841.38</v>
      </c>
    </row>
    <row r="31" spans="1:4" ht="14.25">
      <c r="A31" s="151" t="s">
        <v>676</v>
      </c>
      <c r="B31" s="116"/>
      <c r="C31" s="153"/>
      <c r="D31" s="177"/>
    </row>
    <row r="32" spans="1:4" ht="14.25">
      <c r="A32" s="157" t="s">
        <v>995</v>
      </c>
      <c r="B32" s="74" t="s">
        <v>661</v>
      </c>
      <c r="C32" s="153"/>
      <c r="D32" s="178">
        <f>4830.86+8884.09</f>
        <v>13714.95</v>
      </c>
    </row>
    <row r="33" spans="1:4" ht="14.25">
      <c r="A33" s="132" t="s">
        <v>883</v>
      </c>
      <c r="B33" s="74" t="s">
        <v>661</v>
      </c>
      <c r="C33" s="153"/>
      <c r="D33" s="179">
        <f>94174.2+2723.34</f>
        <v>96897.54</v>
      </c>
    </row>
    <row r="34" spans="1:4" ht="14.25">
      <c r="A34" s="157" t="s">
        <v>880</v>
      </c>
      <c r="B34" s="74" t="s">
        <v>661</v>
      </c>
      <c r="C34" s="153"/>
      <c r="D34" s="179">
        <v>17907.81</v>
      </c>
    </row>
    <row r="35" spans="1:4" ht="14.25">
      <c r="A35" s="157" t="s">
        <v>925</v>
      </c>
      <c r="B35" s="74" t="s">
        <v>661</v>
      </c>
      <c r="C35" s="153"/>
      <c r="D35" s="180">
        <v>16908.57</v>
      </c>
    </row>
    <row r="36" spans="1:4" ht="15">
      <c r="A36" s="151" t="s">
        <v>682</v>
      </c>
      <c r="B36" s="118"/>
      <c r="C36" s="153"/>
      <c r="D36" s="191"/>
    </row>
    <row r="37" spans="1:4" ht="14.25">
      <c r="A37" s="159" t="s">
        <v>886</v>
      </c>
      <c r="B37" s="74" t="s">
        <v>661</v>
      </c>
      <c r="C37" s="153"/>
      <c r="D37" s="192">
        <v>10331.05</v>
      </c>
    </row>
    <row r="38" spans="1:4" ht="14.25">
      <c r="A38" s="159" t="s">
        <v>888</v>
      </c>
      <c r="B38" s="74" t="s">
        <v>661</v>
      </c>
      <c r="C38" s="153"/>
      <c r="D38" s="192">
        <f>553.3+2042.43+3445.16</f>
        <v>6040.889999999999</v>
      </c>
    </row>
    <row r="39" spans="1:4" ht="14.25">
      <c r="A39" s="159" t="s">
        <v>929</v>
      </c>
      <c r="B39" s="74" t="s">
        <v>661</v>
      </c>
      <c r="C39" s="152"/>
      <c r="D39" s="192">
        <v>1088.06</v>
      </c>
    </row>
    <row r="40" spans="1:4" ht="15">
      <c r="A40" s="195" t="s">
        <v>993</v>
      </c>
      <c r="B40" s="74" t="s">
        <v>661</v>
      </c>
      <c r="C40" s="152"/>
      <c r="D40" s="192">
        <f>49759+32193.66</f>
        <v>81952.66</v>
      </c>
    </row>
    <row r="41" spans="1:4" ht="15">
      <c r="A41" s="195" t="s">
        <v>994</v>
      </c>
      <c r="B41" s="74" t="s">
        <v>661</v>
      </c>
      <c r="C41" s="152"/>
      <c r="D41" s="192">
        <v>376837.37</v>
      </c>
    </row>
    <row r="42" spans="1:4" ht="14.25" hidden="1">
      <c r="A42" s="157"/>
      <c r="B42" s="153"/>
      <c r="C42" s="152"/>
      <c r="D42" s="160"/>
    </row>
    <row r="43" spans="1:4" ht="15" hidden="1">
      <c r="A43" s="162" t="s">
        <v>821</v>
      </c>
      <c r="B43" s="163"/>
      <c r="C43" s="164"/>
      <c r="D43" s="165">
        <f>SUM(D30:D42)</f>
        <v>656520.28</v>
      </c>
    </row>
    <row r="44" spans="1:4" ht="15">
      <c r="A44" s="71"/>
      <c r="B44" s="11"/>
      <c r="C44" s="11"/>
      <c r="D44" s="11"/>
    </row>
    <row r="45" spans="1:4" ht="15">
      <c r="A45" s="71"/>
      <c r="B45" s="11"/>
      <c r="C45" s="11"/>
      <c r="D45" s="11"/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3" ht="15.75">
      <c r="A50" s="187" t="s">
        <v>921</v>
      </c>
      <c r="B50" s="187"/>
      <c r="C50" s="187" t="s">
        <v>889</v>
      </c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7" ht="15.75">
      <c r="A57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8">
      <selection activeCell="A37" sqref="A37"/>
    </sheetView>
  </sheetViews>
  <sheetFormatPr defaultColWidth="9.140625" defaultRowHeight="12.75"/>
  <cols>
    <col min="1" max="1" width="60.140625" style="1" customWidth="1"/>
    <col min="2" max="2" width="11.140625" style="1" customWidth="1"/>
    <col min="3" max="3" width="15.5742187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944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633.2+160142.42</f>
        <v>160775.62000000002</v>
      </c>
      <c r="D11" s="136">
        <v>13620.11</v>
      </c>
    </row>
    <row r="12" spans="1:4" ht="15.75" thickBot="1">
      <c r="A12" s="1341" t="s">
        <v>646</v>
      </c>
      <c r="B12" s="1342"/>
      <c r="C12" s="137">
        <f>3313.12+1107194.74</f>
        <v>1110507.86</v>
      </c>
      <c r="D12" s="136">
        <v>29041.29</v>
      </c>
    </row>
    <row r="13" spans="1:4" ht="15.75" thickBot="1">
      <c r="A13" s="1341" t="s">
        <v>647</v>
      </c>
      <c r="B13" s="1342"/>
      <c r="C13" s="135">
        <f>3353.96+1013651.23</f>
        <v>1017005.19</v>
      </c>
      <c r="D13" s="136">
        <v>34548.08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254278.29000000027</v>
      </c>
      <c r="D15" s="136">
        <f>D11+D12-D13</f>
        <v>8113.32</v>
      </c>
    </row>
    <row r="16" spans="1:4" ht="15.75" thickBot="1">
      <c r="A16" s="1341" t="s">
        <v>806</v>
      </c>
      <c r="B16" s="1342"/>
      <c r="C16" s="170">
        <f>D22+D45</f>
        <v>1184831.55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D23+D24+D25+D26+D27</f>
        <v>456377.9000000001</v>
      </c>
    </row>
    <row r="23" spans="1:4" ht="26.25" thickBot="1">
      <c r="A23" s="166" t="s">
        <v>662</v>
      </c>
      <c r="B23" s="64" t="s">
        <v>652</v>
      </c>
      <c r="C23" s="45"/>
      <c r="D23" s="171">
        <v>225247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81928.21</v>
      </c>
    </row>
    <row r="25" spans="1:4" ht="25.5" thickBot="1">
      <c r="A25" s="133" t="s">
        <v>658</v>
      </c>
      <c r="B25" s="168" t="s">
        <v>657</v>
      </c>
      <c r="C25" s="145"/>
      <c r="D25" s="171">
        <v>126609.6</v>
      </c>
    </row>
    <row r="26" spans="1:4" ht="15.75" thickBot="1">
      <c r="A26" s="133" t="s">
        <v>799</v>
      </c>
      <c r="B26" s="181" t="s">
        <v>661</v>
      </c>
      <c r="C26" s="182"/>
      <c r="D26" s="183">
        <v>6000</v>
      </c>
    </row>
    <row r="27" spans="1:4" ht="15.75" thickBot="1">
      <c r="A27" s="147" t="s">
        <v>685</v>
      </c>
      <c r="B27" s="184" t="s">
        <v>817</v>
      </c>
      <c r="C27" s="45" t="s">
        <v>801</v>
      </c>
      <c r="D27" s="186">
        <v>16593.09</v>
      </c>
    </row>
    <row r="28" spans="1:4" ht="15.75" thickBot="1">
      <c r="A28" s="148" t="s">
        <v>760</v>
      </c>
      <c r="B28" s="149"/>
      <c r="C28" s="139"/>
      <c r="D28" s="194">
        <f>D30+D31+D33+D34+D35+D36+D38+D39+D40+D41</f>
        <v>330825.07</v>
      </c>
    </row>
    <row r="29" spans="1:4" ht="24.75" thickBot="1">
      <c r="A29" s="150" t="s">
        <v>672</v>
      </c>
      <c r="B29" s="15" t="s">
        <v>920</v>
      </c>
      <c r="C29" s="49" t="s">
        <v>673</v>
      </c>
      <c r="D29" s="176" t="s">
        <v>793</v>
      </c>
    </row>
    <row r="30" spans="1:4" ht="14.25">
      <c r="A30" s="188" t="s">
        <v>928</v>
      </c>
      <c r="B30" s="74" t="s">
        <v>661</v>
      </c>
      <c r="C30" s="153"/>
      <c r="D30" s="177">
        <f>3077.73</f>
        <v>3077.73</v>
      </c>
    </row>
    <row r="31" spans="1:4" ht="14.25">
      <c r="A31" s="188" t="s">
        <v>930</v>
      </c>
      <c r="B31" s="74" t="s">
        <v>661</v>
      </c>
      <c r="C31" s="153"/>
      <c r="D31" s="177">
        <v>1013.83</v>
      </c>
    </row>
    <row r="32" spans="1:4" ht="14.25">
      <c r="A32" s="151" t="s">
        <v>676</v>
      </c>
      <c r="B32" s="116"/>
      <c r="C32" s="153"/>
      <c r="D32" s="177"/>
    </row>
    <row r="33" spans="1:4" ht="14.25">
      <c r="A33" s="157" t="s">
        <v>995</v>
      </c>
      <c r="B33" s="74" t="s">
        <v>661</v>
      </c>
      <c r="C33" s="153"/>
      <c r="D33" s="178">
        <f>2477.62+77944.2</f>
        <v>80421.81999999999</v>
      </c>
    </row>
    <row r="34" spans="1:4" ht="14.25">
      <c r="A34" s="132" t="s">
        <v>883</v>
      </c>
      <c r="B34" s="74" t="s">
        <v>661</v>
      </c>
      <c r="C34" s="153"/>
      <c r="D34" s="179">
        <f>68854.08+25285.52</f>
        <v>94139.6</v>
      </c>
    </row>
    <row r="35" spans="1:4" ht="14.25">
      <c r="A35" s="157" t="s">
        <v>880</v>
      </c>
      <c r="B35" s="74" t="s">
        <v>661</v>
      </c>
      <c r="C35" s="153"/>
      <c r="D35" s="179">
        <f>17886.83</f>
        <v>17886.83</v>
      </c>
    </row>
    <row r="36" spans="1:4" ht="14.25">
      <c r="A36" s="157" t="s">
        <v>925</v>
      </c>
      <c r="B36" s="74" t="s">
        <v>661</v>
      </c>
      <c r="C36" s="153"/>
      <c r="D36" s="180">
        <f>105715.5+11538.98</f>
        <v>117254.48</v>
      </c>
    </row>
    <row r="37" spans="1:4" ht="15">
      <c r="A37" s="151" t="s">
        <v>682</v>
      </c>
      <c r="B37" s="118"/>
      <c r="C37" s="153"/>
      <c r="D37" s="191"/>
    </row>
    <row r="38" spans="1:4" ht="14.25">
      <c r="A38" s="159" t="s">
        <v>884</v>
      </c>
      <c r="B38" s="74" t="s">
        <v>661</v>
      </c>
      <c r="C38" s="153"/>
      <c r="D38" s="192">
        <v>1033.21</v>
      </c>
    </row>
    <row r="39" spans="1:4" ht="14.25">
      <c r="A39" s="159" t="s">
        <v>886</v>
      </c>
      <c r="B39" s="74" t="s">
        <v>661</v>
      </c>
      <c r="C39" s="153"/>
      <c r="D39" s="192">
        <v>7281.33</v>
      </c>
    </row>
    <row r="40" spans="1:4" ht="14.25">
      <c r="A40" s="159" t="s">
        <v>888</v>
      </c>
      <c r="B40" s="74" t="s">
        <v>661</v>
      </c>
      <c r="C40" s="153"/>
      <c r="D40" s="192">
        <f>393.88+2401.38+424.65+240.6+852.3+492.51+967.08+1840.67</f>
        <v>7613.070000000001</v>
      </c>
    </row>
    <row r="41" spans="1:4" ht="14.25">
      <c r="A41" s="159" t="s">
        <v>929</v>
      </c>
      <c r="B41" s="74" t="s">
        <v>661</v>
      </c>
      <c r="C41" s="152"/>
      <c r="D41" s="192">
        <v>1103.17</v>
      </c>
    </row>
    <row r="42" spans="1:4" ht="15">
      <c r="A42" s="195" t="s">
        <v>993</v>
      </c>
      <c r="B42" s="74" t="s">
        <v>661</v>
      </c>
      <c r="C42" s="152"/>
      <c r="D42" s="192">
        <v>29890.64</v>
      </c>
    </row>
    <row r="43" spans="1:4" ht="15">
      <c r="A43" s="195" t="s">
        <v>994</v>
      </c>
      <c r="B43" s="74" t="s">
        <v>661</v>
      </c>
      <c r="C43" s="152"/>
      <c r="D43" s="192">
        <v>367737.94</v>
      </c>
    </row>
    <row r="44" spans="1:4" ht="14.25" hidden="1">
      <c r="A44" s="157"/>
      <c r="B44" s="153"/>
      <c r="C44" s="152"/>
      <c r="D44" s="160"/>
    </row>
    <row r="45" spans="1:4" ht="15" hidden="1">
      <c r="A45" s="162" t="s">
        <v>821</v>
      </c>
      <c r="B45" s="163"/>
      <c r="C45" s="164"/>
      <c r="D45" s="165">
        <f>SUM(D30:D44)</f>
        <v>728453.65</v>
      </c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3" ht="15.75">
      <c r="A50" s="187" t="s">
        <v>921</v>
      </c>
      <c r="B50" s="187"/>
      <c r="C50" s="187" t="s">
        <v>889</v>
      </c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7" ht="15.75">
      <c r="A57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99CC"/>
  </sheetPr>
  <dimension ref="A3:K8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2.75" customHeight="1">
      <c r="A8" s="26"/>
      <c r="B8" s="26"/>
      <c r="C8"/>
    </row>
    <row r="9" spans="1:4" ht="15">
      <c r="A9" s="1343" t="s">
        <v>977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148151.74</v>
      </c>
      <c r="D13" s="1309"/>
    </row>
    <row r="14" spans="1:4" ht="14.25">
      <c r="A14" s="471" t="s">
        <v>486</v>
      </c>
      <c r="B14" s="473"/>
      <c r="C14" s="1310">
        <v>1156229.53</v>
      </c>
      <c r="D14" s="1311"/>
    </row>
    <row r="15" spans="1:4" ht="14.25">
      <c r="A15" s="470" t="s">
        <v>647</v>
      </c>
      <c r="B15" s="474"/>
      <c r="C15" s="1312">
        <v>995888</v>
      </c>
      <c r="D15" s="1313"/>
    </row>
    <row r="16" spans="1:4" ht="15">
      <c r="A16" s="475" t="s">
        <v>348</v>
      </c>
      <c r="B16" s="476"/>
      <c r="C16" s="1314">
        <f>C13+C14-C15</f>
        <v>308493.27</v>
      </c>
      <c r="D16" s="1372"/>
    </row>
    <row r="17" spans="1:4" ht="14.25">
      <c r="A17" s="470" t="s">
        <v>539</v>
      </c>
      <c r="B17" s="527"/>
      <c r="C17" s="1373">
        <v>633486.37</v>
      </c>
      <c r="D17" s="1374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660" t="s">
        <v>477</v>
      </c>
      <c r="B22" s="482" t="s">
        <v>667</v>
      </c>
      <c r="C22" s="409" t="s">
        <v>673</v>
      </c>
      <c r="D22" s="453"/>
    </row>
    <row r="23" spans="1:4" ht="16.5" thickBot="1">
      <c r="A23" s="477" t="s">
        <v>913</v>
      </c>
      <c r="B23" s="483"/>
      <c r="C23" s="456"/>
      <c r="D23" s="664"/>
    </row>
    <row r="24" spans="1:4" ht="26.25">
      <c r="A24" s="546" t="s">
        <v>105</v>
      </c>
      <c r="B24" s="394" t="s">
        <v>652</v>
      </c>
      <c r="C24" s="395"/>
      <c r="D24" s="396">
        <v>99114.93</v>
      </c>
    </row>
    <row r="25" spans="1:4" ht="15">
      <c r="A25" s="492" t="s">
        <v>654</v>
      </c>
      <c r="B25" s="398" t="s">
        <v>656</v>
      </c>
      <c r="C25" s="392" t="s">
        <v>801</v>
      </c>
      <c r="D25" s="393">
        <v>58069.73</v>
      </c>
    </row>
    <row r="26" spans="1:4" ht="15">
      <c r="A26" s="492" t="s">
        <v>473</v>
      </c>
      <c r="B26" s="398" t="s">
        <v>102</v>
      </c>
      <c r="C26" s="392"/>
      <c r="D26" s="393">
        <v>71705.4</v>
      </c>
    </row>
    <row r="27" spans="1:4" ht="24.75">
      <c r="A27" s="546" t="s">
        <v>58</v>
      </c>
      <c r="B27" s="563" t="s">
        <v>657</v>
      </c>
      <c r="C27" s="632"/>
      <c r="D27" s="631">
        <v>56443.2</v>
      </c>
    </row>
    <row r="28" spans="1:4" ht="24.75">
      <c r="A28" s="389" t="s">
        <v>14</v>
      </c>
      <c r="B28" s="399" t="s">
        <v>657</v>
      </c>
      <c r="C28" s="508"/>
      <c r="D28" s="393">
        <v>72594.69</v>
      </c>
    </row>
    <row r="29" spans="1:4" ht="15">
      <c r="A29" s="546" t="s">
        <v>460</v>
      </c>
      <c r="B29" s="397"/>
      <c r="C29" s="404"/>
      <c r="D29" s="396">
        <v>5156.22</v>
      </c>
    </row>
    <row r="30" spans="1:4" ht="15">
      <c r="A30" s="492" t="s">
        <v>705</v>
      </c>
      <c r="B30" s="399" t="s">
        <v>661</v>
      </c>
      <c r="C30" s="400"/>
      <c r="D30" s="393">
        <v>1185.7</v>
      </c>
    </row>
    <row r="31" spans="1:4" ht="15.75" thickBot="1">
      <c r="A31" s="675" t="s">
        <v>799</v>
      </c>
      <c r="B31" s="820" t="s">
        <v>661</v>
      </c>
      <c r="C31" s="820"/>
      <c r="D31" s="512">
        <v>9674.85</v>
      </c>
    </row>
    <row r="32" spans="1:4" ht="15.75" thickBot="1">
      <c r="A32" s="805" t="s">
        <v>701</v>
      </c>
      <c r="B32" s="927"/>
      <c r="C32" s="1020"/>
      <c r="D32" s="939">
        <v>373944.72</v>
      </c>
    </row>
    <row r="33" spans="1:4" ht="15.75" thickBot="1">
      <c r="A33" s="487" t="s">
        <v>914</v>
      </c>
      <c r="B33" s="461"/>
      <c r="C33" s="462"/>
      <c r="D33" s="1034"/>
    </row>
    <row r="34" spans="1:4" ht="14.25">
      <c r="A34" s="513" t="s">
        <v>733</v>
      </c>
      <c r="B34" s="433" t="s">
        <v>920</v>
      </c>
      <c r="C34" s="443" t="s">
        <v>673</v>
      </c>
      <c r="D34" s="444"/>
    </row>
    <row r="35" spans="1:4" ht="14.25">
      <c r="A35" s="359" t="s">
        <v>724</v>
      </c>
      <c r="B35" s="410"/>
      <c r="C35" s="410"/>
      <c r="D35" s="1038">
        <v>14090.75</v>
      </c>
    </row>
    <row r="36" spans="1:4" ht="15.75" thickBot="1">
      <c r="A36" s="843" t="s">
        <v>452</v>
      </c>
      <c r="B36" s="964" t="s">
        <v>817</v>
      </c>
      <c r="C36" s="661">
        <v>1</v>
      </c>
      <c r="D36" s="835">
        <v>2503.25</v>
      </c>
    </row>
    <row r="37" spans="1:4" ht="15.75" thickBot="1">
      <c r="A37" s="806" t="s">
        <v>701</v>
      </c>
      <c r="B37" s="811"/>
      <c r="C37" s="803"/>
      <c r="D37" s="858">
        <v>16594</v>
      </c>
    </row>
    <row r="38" spans="1:4" ht="15">
      <c r="A38" s="808" t="s">
        <v>448</v>
      </c>
      <c r="B38" s="570"/>
      <c r="C38" s="441"/>
      <c r="D38" s="598"/>
    </row>
    <row r="39" spans="1:4" ht="15">
      <c r="A39" s="377" t="s">
        <v>239</v>
      </c>
      <c r="B39" s="570" t="s">
        <v>478</v>
      </c>
      <c r="C39" s="441">
        <v>3</v>
      </c>
      <c r="D39" s="598">
        <v>4295.99</v>
      </c>
    </row>
    <row r="40" spans="1:4" ht="15">
      <c r="A40" s="359" t="s">
        <v>454</v>
      </c>
      <c r="B40" s="365" t="s">
        <v>211</v>
      </c>
      <c r="C40" s="421">
        <v>4</v>
      </c>
      <c r="D40" s="532">
        <v>4920.59</v>
      </c>
    </row>
    <row r="41" spans="1:4" ht="15">
      <c r="A41" s="359" t="s">
        <v>455</v>
      </c>
      <c r="B41" s="365"/>
      <c r="C41" s="421">
        <v>6</v>
      </c>
      <c r="D41" s="532">
        <v>7343.63</v>
      </c>
    </row>
    <row r="42" spans="1:4" ht="15">
      <c r="A42" s="377" t="s">
        <v>450</v>
      </c>
      <c r="B42" s="834" t="s">
        <v>478</v>
      </c>
      <c r="C42" s="836">
        <v>1</v>
      </c>
      <c r="D42" s="835">
        <v>12266</v>
      </c>
    </row>
    <row r="43" spans="1:4" ht="15.75" thickBot="1">
      <c r="A43" s="799" t="s">
        <v>378</v>
      </c>
      <c r="B43" s="758"/>
      <c r="C43" s="807">
        <v>1</v>
      </c>
      <c r="D43" s="541">
        <v>27611.82</v>
      </c>
    </row>
    <row r="44" spans="1:4" ht="15.75" thickBot="1">
      <c r="A44" s="805" t="s">
        <v>701</v>
      </c>
      <c r="B44" s="817"/>
      <c r="C44" s="1020"/>
      <c r="D44" s="940">
        <v>56438.03</v>
      </c>
    </row>
    <row r="45" spans="1:4" ht="15">
      <c r="A45" s="513" t="s">
        <v>449</v>
      </c>
      <c r="B45" s="824"/>
      <c r="C45" s="652"/>
      <c r="D45" s="441"/>
    </row>
    <row r="46" spans="1:4" ht="15.75">
      <c r="A46" s="554" t="s">
        <v>1020</v>
      </c>
      <c r="B46" s="365" t="s">
        <v>478</v>
      </c>
      <c r="C46" s="615">
        <v>2</v>
      </c>
      <c r="D46" s="532">
        <v>4647.39</v>
      </c>
    </row>
    <row r="47" spans="1:4" ht="15.75">
      <c r="A47" s="554" t="s">
        <v>479</v>
      </c>
      <c r="B47" s="365" t="s">
        <v>52</v>
      </c>
      <c r="C47" s="615">
        <v>3</v>
      </c>
      <c r="D47" s="532">
        <v>3415.5</v>
      </c>
    </row>
    <row r="48" spans="1:4" ht="15.75" thickBot="1">
      <c r="A48" s="807" t="s">
        <v>882</v>
      </c>
      <c r="B48" s="758"/>
      <c r="C48" s="616">
        <v>10</v>
      </c>
      <c r="D48" s="541">
        <v>12141.61</v>
      </c>
    </row>
    <row r="49" spans="1:4" ht="16.5" thickBot="1">
      <c r="A49" s="829" t="s">
        <v>701</v>
      </c>
      <c r="B49" s="811"/>
      <c r="C49" s="550"/>
      <c r="D49" s="863">
        <v>20204.5</v>
      </c>
    </row>
    <row r="50" spans="1:4" ht="15.75">
      <c r="A50" s="876" t="s">
        <v>451</v>
      </c>
      <c r="B50" s="570"/>
      <c r="C50" s="652">
        <v>1</v>
      </c>
      <c r="D50" s="835"/>
    </row>
    <row r="51" spans="1:4" ht="15.75">
      <c r="A51" s="547" t="s">
        <v>727</v>
      </c>
      <c r="B51" s="365"/>
      <c r="C51" s="615">
        <v>1</v>
      </c>
      <c r="D51" s="541">
        <v>353.14</v>
      </c>
    </row>
    <row r="52" spans="1:4" ht="16.5" thickBot="1">
      <c r="A52" s="833" t="s">
        <v>77</v>
      </c>
      <c r="B52" s="758" t="s">
        <v>478</v>
      </c>
      <c r="C52" s="616">
        <v>1</v>
      </c>
      <c r="D52" s="439">
        <v>3889.69</v>
      </c>
    </row>
    <row r="53" spans="1:4" ht="15.75" thickBot="1">
      <c r="A53" s="806" t="s">
        <v>701</v>
      </c>
      <c r="B53" s="811"/>
      <c r="C53" s="1013"/>
      <c r="D53" s="863">
        <v>4242.83</v>
      </c>
    </row>
    <row r="54" spans="1:4" ht="15">
      <c r="A54" s="808" t="s">
        <v>362</v>
      </c>
      <c r="B54" s="760"/>
      <c r="C54" s="377"/>
      <c r="D54" s="810"/>
    </row>
    <row r="55" spans="1:4" ht="15">
      <c r="A55" s="359" t="s">
        <v>51</v>
      </c>
      <c r="B55" s="365"/>
      <c r="C55" s="615">
        <v>1</v>
      </c>
      <c r="D55" s="541">
        <v>1784.9</v>
      </c>
    </row>
    <row r="56" spans="1:4" ht="15.75" thickBot="1">
      <c r="A56" s="807"/>
      <c r="B56" s="758"/>
      <c r="C56" s="616"/>
      <c r="D56" s="541"/>
    </row>
    <row r="57" spans="1:4" ht="15.75" thickBot="1">
      <c r="A57" s="805" t="s">
        <v>701</v>
      </c>
      <c r="B57" s="817"/>
      <c r="C57" s="854"/>
      <c r="D57" s="1040">
        <v>1784.9</v>
      </c>
    </row>
    <row r="58" spans="1:11" ht="15.75">
      <c r="A58" s="876" t="s">
        <v>386</v>
      </c>
      <c r="B58" s="570"/>
      <c r="C58" s="652"/>
      <c r="D58" s="835"/>
      <c r="K58">
        <v>2</v>
      </c>
    </row>
    <row r="59" spans="1:4" ht="15.75">
      <c r="A59" s="547" t="s">
        <v>692</v>
      </c>
      <c r="B59" s="570"/>
      <c r="C59" s="652">
        <v>2</v>
      </c>
      <c r="D59" s="835">
        <v>706.28</v>
      </c>
    </row>
    <row r="60" spans="1:4" ht="15.75">
      <c r="A60" s="547" t="s">
        <v>542</v>
      </c>
      <c r="B60" s="570" t="s">
        <v>52</v>
      </c>
      <c r="C60" s="652">
        <v>1</v>
      </c>
      <c r="D60" s="835">
        <v>314.74</v>
      </c>
    </row>
    <row r="61" spans="1:4" ht="15.75" thickBot="1">
      <c r="A61" s="519" t="s">
        <v>886</v>
      </c>
      <c r="B61" s="758" t="s">
        <v>478</v>
      </c>
      <c r="C61" s="616">
        <v>4</v>
      </c>
      <c r="D61" s="881">
        <v>2482.46</v>
      </c>
    </row>
    <row r="62" spans="1:4" ht="15.75" thickBot="1">
      <c r="A62" s="806" t="s">
        <v>701</v>
      </c>
      <c r="B62" s="811"/>
      <c r="C62" s="550"/>
      <c r="D62" s="892">
        <v>3503.48</v>
      </c>
    </row>
    <row r="63" spans="1:4" ht="15.75" thickBot="1">
      <c r="A63" s="894" t="s">
        <v>456</v>
      </c>
      <c r="B63" s="811"/>
      <c r="C63" s="550"/>
      <c r="D63" s="892">
        <v>102767.74</v>
      </c>
    </row>
    <row r="64" spans="1:4" ht="15">
      <c r="A64" s="513"/>
      <c r="B64" s="763"/>
      <c r="C64" s="652"/>
      <c r="D64" s="877"/>
    </row>
    <row r="65" spans="1:4" ht="15">
      <c r="A65" s="955" t="s">
        <v>453</v>
      </c>
      <c r="B65" s="365"/>
      <c r="C65" s="427"/>
      <c r="D65" s="869">
        <v>21502.82</v>
      </c>
    </row>
    <row r="66" spans="1:4" ht="15">
      <c r="A66" s="955" t="s">
        <v>904</v>
      </c>
      <c r="B66" s="365"/>
      <c r="C66" s="427"/>
      <c r="D66" s="869">
        <v>18275.16</v>
      </c>
    </row>
    <row r="67" spans="1:4" ht="15">
      <c r="A67" s="955" t="s">
        <v>735</v>
      </c>
      <c r="B67" s="365"/>
      <c r="C67" s="427"/>
      <c r="D67" s="869">
        <v>116995.93</v>
      </c>
    </row>
    <row r="68" spans="1:4" ht="15.75" thickBot="1">
      <c r="A68" s="937"/>
      <c r="B68" s="758"/>
      <c r="C68" s="435"/>
      <c r="D68" s="1039"/>
    </row>
    <row r="69" spans="1:4" ht="15.75" thickBot="1">
      <c r="A69" s="806" t="s">
        <v>918</v>
      </c>
      <c r="B69" s="811"/>
      <c r="C69" s="907"/>
      <c r="D69" s="863">
        <v>633486.37</v>
      </c>
    </row>
    <row r="70" spans="1:4" ht="15">
      <c r="A70" s="196"/>
      <c r="B70" s="196"/>
      <c r="C70" s="196"/>
      <c r="D70" s="197"/>
    </row>
    <row r="71" spans="1:4" ht="12.75">
      <c r="A71" s="1353"/>
      <c r="B71" s="1354"/>
      <c r="C71" s="374"/>
      <c r="D71" s="442"/>
    </row>
    <row r="72" spans="1:4" ht="12.75">
      <c r="A72" s="1355"/>
      <c r="B72" s="1356"/>
      <c r="C72" s="559"/>
      <c r="D72" s="559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332" t="s">
        <v>569</v>
      </c>
      <c r="B74" s="1332"/>
      <c r="C74" s="628"/>
      <c r="D74" s="608">
        <v>995888</v>
      </c>
    </row>
    <row r="75" spans="1:4" ht="15">
      <c r="A75" s="1332" t="s">
        <v>570</v>
      </c>
      <c r="B75" s="1332"/>
      <c r="C75" s="607"/>
      <c r="D75" s="608">
        <v>633486.37</v>
      </c>
    </row>
    <row r="76" spans="1:4" ht="15">
      <c r="A76" s="1333" t="s">
        <v>571</v>
      </c>
      <c r="B76" s="1333"/>
      <c r="C76" s="629"/>
      <c r="D76" s="629">
        <v>-362401.63</v>
      </c>
    </row>
    <row r="77" spans="1:4" ht="15">
      <c r="A77" s="1332" t="s">
        <v>179</v>
      </c>
      <c r="B77" s="1332"/>
      <c r="C77" s="1258"/>
      <c r="D77" s="630">
        <v>-362401.63</v>
      </c>
    </row>
    <row r="78" spans="1:4" ht="15">
      <c r="A78" s="1304"/>
      <c r="B78" s="1304"/>
      <c r="C78" s="1305"/>
      <c r="D78" s="1306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181</v>
      </c>
      <c r="B81" s="538"/>
      <c r="C81" s="1259" t="s">
        <v>573</v>
      </c>
      <c r="D81" s="1260"/>
    </row>
    <row r="83" ht="12.75">
      <c r="A83" s="735" t="s">
        <v>357</v>
      </c>
    </row>
    <row r="84" ht="12.75">
      <c r="A84" s="735" t="s">
        <v>906</v>
      </c>
    </row>
    <row r="85" ht="12.75">
      <c r="A85" s="735" t="s">
        <v>358</v>
      </c>
    </row>
  </sheetData>
  <sheetProtection/>
  <mergeCells count="19">
    <mergeCell ref="A77:B77"/>
    <mergeCell ref="A71:B72"/>
    <mergeCell ref="A74:B74"/>
    <mergeCell ref="A75:B75"/>
    <mergeCell ref="A76:B76"/>
    <mergeCell ref="A19:D19"/>
    <mergeCell ref="A20:D20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E8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3.8515625" style="0" customWidth="1"/>
    <col min="2" max="2" width="13.28125" style="0" customWidth="1"/>
    <col min="3" max="3" width="10.8515625" style="0" customWidth="1"/>
    <col min="4" max="4" width="12.8515625" style="0" customWidth="1"/>
  </cols>
  <sheetData>
    <row r="1" spans="1:4" ht="12.75">
      <c r="A1" s="1"/>
      <c r="B1" s="1"/>
      <c r="C1" s="1364" t="s">
        <v>792</v>
      </c>
      <c r="D1" s="1364"/>
    </row>
    <row r="2" spans="1:4" ht="22.5">
      <c r="A2" s="1331" t="s">
        <v>687</v>
      </c>
      <c r="B2" s="1331"/>
      <c r="C2" s="140"/>
      <c r="D2" s="140"/>
    </row>
    <row r="3" spans="1:4" ht="15.75">
      <c r="A3" s="1363" t="s">
        <v>497</v>
      </c>
      <c r="B3" s="1363"/>
      <c r="C3" s="91"/>
      <c r="D3" s="91"/>
    </row>
    <row r="4" spans="1:4" ht="15.75">
      <c r="A4" s="1363" t="s">
        <v>641</v>
      </c>
      <c r="B4" s="1363"/>
      <c r="C4" s="91"/>
      <c r="D4" s="91"/>
    </row>
    <row r="5" spans="1:4" ht="15.75">
      <c r="A5" s="1363" t="s">
        <v>804</v>
      </c>
      <c r="B5" s="1363"/>
      <c r="C5" s="91"/>
      <c r="D5" s="91"/>
    </row>
    <row r="6" spans="1:4" ht="12.75" customHeight="1">
      <c r="A6" s="26"/>
      <c r="B6" s="26"/>
      <c r="D6" s="1"/>
    </row>
    <row r="7" spans="1:4" ht="15">
      <c r="A7" s="1343" t="s">
        <v>795</v>
      </c>
      <c r="B7" s="1343"/>
      <c r="C7" s="139"/>
      <c r="D7" s="139"/>
    </row>
    <row r="8" spans="1:4" ht="12.75">
      <c r="A8" s="4"/>
      <c r="D8" s="8"/>
    </row>
    <row r="9" spans="1:4" ht="12.75" customHeight="1">
      <c r="A9" s="1366" t="s">
        <v>642</v>
      </c>
      <c r="B9" s="1367"/>
      <c r="C9" s="1366" t="s">
        <v>488</v>
      </c>
      <c r="D9" s="1367"/>
    </row>
    <row r="10" spans="1:4" ht="12.75">
      <c r="A10" s="1368"/>
      <c r="B10" s="1369"/>
      <c r="C10" s="1368"/>
      <c r="D10" s="1369"/>
    </row>
    <row r="11" spans="1:4" ht="15" customHeight="1">
      <c r="A11" s="372" t="s">
        <v>347</v>
      </c>
      <c r="B11" s="472"/>
      <c r="C11" s="1308">
        <v>307831.19</v>
      </c>
      <c r="D11" s="1309"/>
    </row>
    <row r="12" spans="1:4" ht="15.75" customHeight="1">
      <c r="A12" s="471" t="s">
        <v>486</v>
      </c>
      <c r="B12" s="473"/>
      <c r="C12" s="1310">
        <v>1199492.29</v>
      </c>
      <c r="D12" s="1311"/>
    </row>
    <row r="13" spans="1:4" ht="14.25" customHeight="1">
      <c r="A13" s="470" t="s">
        <v>647</v>
      </c>
      <c r="B13" s="474"/>
      <c r="C13" s="1312">
        <v>880898.24</v>
      </c>
      <c r="D13" s="1313"/>
    </row>
    <row r="14" spans="1:5" ht="14.25" customHeight="1">
      <c r="A14" s="475" t="s">
        <v>348</v>
      </c>
      <c r="B14" s="476"/>
      <c r="C14" s="1314">
        <f>C11+C12-C13</f>
        <v>626425.24</v>
      </c>
      <c r="D14" s="1372"/>
      <c r="E14" t="s">
        <v>465</v>
      </c>
    </row>
    <row r="15" spans="1:4" ht="14.25" customHeight="1">
      <c r="A15" s="470" t="s">
        <v>539</v>
      </c>
      <c r="B15" s="527"/>
      <c r="C15" s="1373">
        <v>604806.79</v>
      </c>
      <c r="D15" s="1374"/>
    </row>
    <row r="16" spans="1:4" ht="12.75">
      <c r="A16" s="1"/>
      <c r="B16" s="83"/>
      <c r="C16" s="81"/>
      <c r="D16" s="314"/>
    </row>
    <row r="17" spans="1:4" ht="15.75">
      <c r="A17" s="1340" t="s">
        <v>650</v>
      </c>
      <c r="B17" s="1340"/>
      <c r="C17" s="1340"/>
      <c r="D17" s="1340"/>
    </row>
    <row r="18" spans="1:4" ht="15.75">
      <c r="A18" s="1340" t="s">
        <v>346</v>
      </c>
      <c r="B18" s="1340"/>
      <c r="C18" s="1340"/>
      <c r="D18" s="1340"/>
    </row>
    <row r="19" spans="1:4" ht="12.75">
      <c r="A19" s="82"/>
      <c r="B19" s="82"/>
      <c r="C19" s="103"/>
      <c r="D19" s="82"/>
    </row>
    <row r="20" spans="1:4" ht="29.25" customHeight="1" thickBot="1">
      <c r="A20" s="660" t="s">
        <v>477</v>
      </c>
      <c r="B20" s="482" t="s">
        <v>667</v>
      </c>
      <c r="C20" s="409" t="s">
        <v>673</v>
      </c>
      <c r="D20" s="453"/>
    </row>
    <row r="21" spans="1:4" ht="15.75" customHeight="1" thickBot="1">
      <c r="A21" s="477" t="s">
        <v>913</v>
      </c>
      <c r="B21" s="483"/>
      <c r="C21" s="456"/>
      <c r="D21" s="664"/>
    </row>
    <row r="22" spans="1:4" ht="24.75" customHeight="1">
      <c r="A22" s="562" t="s">
        <v>105</v>
      </c>
      <c r="B22" s="394" t="s">
        <v>652</v>
      </c>
      <c r="C22" s="395"/>
      <c r="D22" s="396">
        <v>100681.98</v>
      </c>
    </row>
    <row r="23" spans="1:4" ht="16.5" customHeight="1">
      <c r="A23" s="492" t="s">
        <v>654</v>
      </c>
      <c r="B23" s="398" t="s">
        <v>656</v>
      </c>
      <c r="C23" s="392" t="s">
        <v>801</v>
      </c>
      <c r="D23" s="393">
        <v>58973.74</v>
      </c>
    </row>
    <row r="24" spans="1:4" ht="15" customHeight="1">
      <c r="A24" s="492" t="s">
        <v>473</v>
      </c>
      <c r="B24" s="398" t="s">
        <v>474</v>
      </c>
      <c r="C24" s="392"/>
      <c r="D24" s="393">
        <v>71705.4</v>
      </c>
    </row>
    <row r="25" spans="1:4" ht="15.75" customHeight="1">
      <c r="A25" s="546" t="s">
        <v>58</v>
      </c>
      <c r="B25" s="399" t="s">
        <v>657</v>
      </c>
      <c r="C25" s="392"/>
      <c r="D25" s="393">
        <v>57335</v>
      </c>
    </row>
    <row r="26" spans="1:4" ht="19.5" customHeight="1">
      <c r="A26" s="389" t="s">
        <v>14</v>
      </c>
      <c r="B26" s="399" t="s">
        <v>657</v>
      </c>
      <c r="C26" s="508"/>
      <c r="D26" s="393">
        <v>73750.93</v>
      </c>
    </row>
    <row r="27" spans="1:4" ht="15.75" customHeight="1">
      <c r="A27" s="389" t="s">
        <v>461</v>
      </c>
      <c r="B27" s="399"/>
      <c r="C27" s="508"/>
      <c r="D27" s="396">
        <v>5237.74</v>
      </c>
    </row>
    <row r="28" spans="1:4" ht="17.25" customHeight="1" thickBot="1">
      <c r="A28" s="675" t="s">
        <v>799</v>
      </c>
      <c r="B28" s="820" t="s">
        <v>661</v>
      </c>
      <c r="C28" s="404"/>
      <c r="D28" s="618">
        <v>5444.53</v>
      </c>
    </row>
    <row r="29" spans="1:4" ht="17.25" customHeight="1" thickBot="1">
      <c r="A29" s="805" t="s">
        <v>701</v>
      </c>
      <c r="B29" s="927"/>
      <c r="C29" s="854"/>
      <c r="D29" s="928">
        <v>373129.32</v>
      </c>
    </row>
    <row r="30" spans="1:4" ht="15.75" thickBot="1">
      <c r="A30" s="680" t="s">
        <v>914</v>
      </c>
      <c r="B30" s="461"/>
      <c r="C30" s="462"/>
      <c r="D30" s="463"/>
    </row>
    <row r="31" spans="1:4" ht="15">
      <c r="A31" s="943" t="s">
        <v>718</v>
      </c>
      <c r="B31" s="433" t="s">
        <v>920</v>
      </c>
      <c r="C31" s="443" t="s">
        <v>673</v>
      </c>
      <c r="D31" s="444"/>
    </row>
    <row r="32" spans="1:4" ht="15">
      <c r="A32" s="383" t="s">
        <v>462</v>
      </c>
      <c r="B32" s="358"/>
      <c r="C32" s="615"/>
      <c r="D32" s="532">
        <v>9639.43</v>
      </c>
    </row>
    <row r="33" spans="1:4" ht="31.5" thickBot="1">
      <c r="A33" s="1052" t="s">
        <v>463</v>
      </c>
      <c r="B33" s="381" t="s">
        <v>40</v>
      </c>
      <c r="C33" s="616">
        <v>2</v>
      </c>
      <c r="D33" s="541">
        <v>1734.44</v>
      </c>
    </row>
    <row r="34" spans="1:4" ht="15.75" thickBot="1">
      <c r="A34" s="806" t="s">
        <v>701</v>
      </c>
      <c r="B34" s="811"/>
      <c r="C34" s="550"/>
      <c r="D34" s="858">
        <v>11373.87</v>
      </c>
    </row>
    <row r="35" spans="1:4" ht="14.25" customHeight="1">
      <c r="A35" s="1045" t="s">
        <v>457</v>
      </c>
      <c r="B35" s="1042"/>
      <c r="C35" s="1043"/>
      <c r="D35" s="1044"/>
    </row>
    <row r="36" spans="1:4" ht="14.25" customHeight="1">
      <c r="A36" s="537" t="s">
        <v>378</v>
      </c>
      <c r="B36" s="1042"/>
      <c r="C36" s="1043"/>
      <c r="D36" s="1044">
        <v>26603</v>
      </c>
    </row>
    <row r="37" spans="1:4" ht="14.25" customHeight="1">
      <c r="A37" s="537" t="s">
        <v>459</v>
      </c>
      <c r="B37" s="1042" t="s">
        <v>40</v>
      </c>
      <c r="C37" s="1043">
        <v>1</v>
      </c>
      <c r="D37" s="1044">
        <v>3089</v>
      </c>
    </row>
    <row r="38" spans="1:4" ht="14.25" customHeight="1">
      <c r="A38" s="537" t="s">
        <v>239</v>
      </c>
      <c r="B38" s="1042" t="s">
        <v>40</v>
      </c>
      <c r="C38" s="1043">
        <v>3</v>
      </c>
      <c r="D38" s="1044">
        <v>6308.33</v>
      </c>
    </row>
    <row r="39" spans="1:4" ht="14.25" customHeight="1" thickBot="1">
      <c r="A39" s="540" t="s">
        <v>455</v>
      </c>
      <c r="B39" s="819"/>
      <c r="C39" s="403">
        <v>8</v>
      </c>
      <c r="D39" s="1046">
        <v>6216.9</v>
      </c>
    </row>
    <row r="40" spans="1:4" ht="12.75" customHeight="1" thickBot="1">
      <c r="A40" s="806" t="s">
        <v>701</v>
      </c>
      <c r="B40" s="811"/>
      <c r="C40" s="462"/>
      <c r="D40" s="858">
        <v>42217.23</v>
      </c>
    </row>
    <row r="41" spans="1:4" ht="15">
      <c r="A41" s="513" t="s">
        <v>915</v>
      </c>
      <c r="B41" s="824"/>
      <c r="C41" s="652"/>
      <c r="D41" s="441"/>
    </row>
    <row r="42" spans="1:4" ht="15.75">
      <c r="A42" s="554" t="s">
        <v>1020</v>
      </c>
      <c r="B42" s="365" t="s">
        <v>478</v>
      </c>
      <c r="C42" s="615">
        <v>2</v>
      </c>
      <c r="D42" s="532">
        <v>9776.55</v>
      </c>
    </row>
    <row r="43" spans="1:4" ht="15">
      <c r="A43" s="359" t="s">
        <v>882</v>
      </c>
      <c r="B43" s="365"/>
      <c r="C43" s="615">
        <v>3</v>
      </c>
      <c r="D43" s="532">
        <v>4221.83</v>
      </c>
    </row>
    <row r="44" spans="1:4" ht="16.5" thickBot="1">
      <c r="A44" s="942" t="s">
        <v>479</v>
      </c>
      <c r="B44" s="758" t="s">
        <v>52</v>
      </c>
      <c r="C44" s="616">
        <v>3</v>
      </c>
      <c r="D44" s="439">
        <v>967.86</v>
      </c>
    </row>
    <row r="45" spans="1:4" ht="16.5" thickBot="1">
      <c r="A45" s="829" t="s">
        <v>701</v>
      </c>
      <c r="B45" s="811"/>
      <c r="C45" s="550"/>
      <c r="D45" s="858">
        <v>14966.24</v>
      </c>
    </row>
    <row r="46" spans="1:4" ht="15">
      <c r="A46" s="808" t="s">
        <v>451</v>
      </c>
      <c r="B46" s="570"/>
      <c r="C46" s="652">
        <v>3</v>
      </c>
      <c r="D46" s="835"/>
    </row>
    <row r="47" spans="1:4" ht="15">
      <c r="A47" s="359" t="s">
        <v>752</v>
      </c>
      <c r="B47" s="365" t="s">
        <v>52</v>
      </c>
      <c r="C47" s="615">
        <v>1</v>
      </c>
      <c r="D47" s="541">
        <v>1574.21</v>
      </c>
    </row>
    <row r="48" spans="1:4" ht="15">
      <c r="A48" s="519" t="s">
        <v>235</v>
      </c>
      <c r="B48" s="758" t="s">
        <v>6</v>
      </c>
      <c r="C48" s="616">
        <v>1</v>
      </c>
      <c r="D48" s="541">
        <v>2024.44</v>
      </c>
    </row>
    <row r="49" spans="1:4" ht="16.5" thickBot="1">
      <c r="A49" s="833" t="s">
        <v>174</v>
      </c>
      <c r="B49" s="758" t="s">
        <v>478</v>
      </c>
      <c r="C49" s="616">
        <v>2</v>
      </c>
      <c r="D49" s="541">
        <v>4318.66</v>
      </c>
    </row>
    <row r="50" spans="1:4" ht="16.5" thickBot="1">
      <c r="A50" s="829" t="s">
        <v>701</v>
      </c>
      <c r="B50" s="811"/>
      <c r="C50" s="550"/>
      <c r="D50" s="858">
        <v>7917.31</v>
      </c>
    </row>
    <row r="51" spans="1:4" ht="15">
      <c r="A51" s="890" t="s">
        <v>362</v>
      </c>
      <c r="B51" s="895"/>
      <c r="C51" s="652"/>
      <c r="D51" s="835"/>
    </row>
    <row r="52" spans="1:4" ht="15">
      <c r="A52" s="1054" t="s">
        <v>318</v>
      </c>
      <c r="B52" s="895" t="s">
        <v>211</v>
      </c>
      <c r="C52" s="652">
        <v>1</v>
      </c>
      <c r="D52" s="835">
        <v>1610.14</v>
      </c>
    </row>
    <row r="53" spans="1:4" ht="15">
      <c r="A53" s="377" t="s">
        <v>221</v>
      </c>
      <c r="B53" s="365" t="s">
        <v>478</v>
      </c>
      <c r="C53" s="615">
        <v>2</v>
      </c>
      <c r="D53" s="541">
        <v>1405.35</v>
      </c>
    </row>
    <row r="54" spans="1:4" ht="15.75" thickBot="1">
      <c r="A54" s="807" t="s">
        <v>695</v>
      </c>
      <c r="B54" s="758"/>
      <c r="C54" s="807">
        <v>2</v>
      </c>
      <c r="D54" s="541">
        <v>1337.15</v>
      </c>
    </row>
    <row r="55" spans="1:4" ht="15.75" thickBot="1">
      <c r="A55" s="806" t="s">
        <v>701</v>
      </c>
      <c r="B55" s="811"/>
      <c r="C55" s="550"/>
      <c r="D55" s="858">
        <v>4352.64</v>
      </c>
    </row>
    <row r="56" spans="1:4" ht="15">
      <c r="A56" s="1045" t="s">
        <v>386</v>
      </c>
      <c r="B56" s="1042"/>
      <c r="C56" s="1047"/>
      <c r="D56" s="631"/>
    </row>
    <row r="57" spans="1:4" ht="15">
      <c r="A57" s="546" t="s">
        <v>886</v>
      </c>
      <c r="B57" s="1042" t="s">
        <v>478</v>
      </c>
      <c r="C57" s="1047">
        <v>9</v>
      </c>
      <c r="D57" s="631">
        <v>5490.45</v>
      </c>
    </row>
    <row r="58" spans="1:4" ht="15">
      <c r="A58" s="389" t="s">
        <v>692</v>
      </c>
      <c r="B58" s="747"/>
      <c r="C58" s="508">
        <v>5</v>
      </c>
      <c r="D58" s="393">
        <v>1444.11</v>
      </c>
    </row>
    <row r="59" spans="1:4" ht="15">
      <c r="A59" s="389"/>
      <c r="B59" s="747"/>
      <c r="C59" s="508"/>
      <c r="D59" s="393"/>
    </row>
    <row r="60" spans="1:4" ht="15.75" thickBot="1">
      <c r="A60" s="675" t="s">
        <v>542</v>
      </c>
      <c r="B60" s="819" t="s">
        <v>52</v>
      </c>
      <c r="C60" s="404"/>
      <c r="D60" s="396">
        <v>54.04</v>
      </c>
    </row>
    <row r="61" spans="1:4" ht="15.75" thickBot="1">
      <c r="A61" s="806" t="s">
        <v>701</v>
      </c>
      <c r="B61" s="811"/>
      <c r="C61" s="550"/>
      <c r="D61" s="892">
        <v>6988.6</v>
      </c>
    </row>
    <row r="62" spans="1:4" ht="15.75" thickBot="1">
      <c r="A62" s="1053"/>
      <c r="B62" s="834"/>
      <c r="C62" s="836"/>
      <c r="D62" s="966"/>
    </row>
    <row r="63" spans="1:4" ht="15.75" thickBot="1">
      <c r="A63" s="1049" t="s">
        <v>458</v>
      </c>
      <c r="B63" s="906"/>
      <c r="C63" s="550"/>
      <c r="D63" s="863">
        <v>86205.75</v>
      </c>
    </row>
    <row r="64" spans="1:4" ht="15">
      <c r="A64" s="1048"/>
      <c r="B64" s="570"/>
      <c r="C64" s="652"/>
      <c r="D64" s="598"/>
    </row>
    <row r="65" spans="1:4" ht="15">
      <c r="A65" s="1050" t="s">
        <v>453</v>
      </c>
      <c r="B65" s="570"/>
      <c r="C65" s="652"/>
      <c r="D65" s="1051">
        <v>21842.79</v>
      </c>
    </row>
    <row r="66" spans="1:4" ht="15">
      <c r="A66" s="1050" t="s">
        <v>904</v>
      </c>
      <c r="B66" s="570"/>
      <c r="C66" s="652"/>
      <c r="D66" s="1051">
        <v>10319.57</v>
      </c>
    </row>
    <row r="67" spans="1:4" ht="15">
      <c r="A67" s="955" t="s">
        <v>735</v>
      </c>
      <c r="B67" s="365"/>
      <c r="C67" s="427"/>
      <c r="D67" s="869">
        <v>111692.22</v>
      </c>
    </row>
    <row r="68" spans="1:4" ht="15.75" thickBot="1">
      <c r="A68" s="972"/>
      <c r="B68" s="758"/>
      <c r="C68" s="616"/>
      <c r="D68" s="541"/>
    </row>
    <row r="69" spans="1:4" ht="15.75" thickBot="1">
      <c r="A69" s="806" t="s">
        <v>36</v>
      </c>
      <c r="B69" s="811"/>
      <c r="C69" s="550"/>
      <c r="D69" s="858">
        <v>604806.79</v>
      </c>
    </row>
    <row r="70" spans="1:4" ht="14.25" customHeight="1">
      <c r="A70" s="1048"/>
      <c r="B70" s="570"/>
      <c r="C70" s="652"/>
      <c r="D70" s="598"/>
    </row>
    <row r="71" spans="1:4" ht="15">
      <c r="A71" s="163"/>
      <c r="B71" s="163"/>
      <c r="C71" s="163"/>
      <c r="D71" s="1280"/>
    </row>
    <row r="72" spans="1:4" ht="12.75">
      <c r="A72" s="1322"/>
      <c r="B72" s="1322"/>
      <c r="C72" s="1281"/>
      <c r="D72" s="1282"/>
    </row>
    <row r="73" spans="1:4" ht="12.75">
      <c r="A73" s="1322"/>
      <c r="B73" s="1322"/>
      <c r="C73" s="1281"/>
      <c r="D73" s="1281"/>
    </row>
    <row r="74" spans="1:4" ht="15">
      <c r="A74" s="1251" t="s">
        <v>568</v>
      </c>
      <c r="B74" s="1257"/>
      <c r="C74" s="467"/>
      <c r="D74" s="467">
        <v>0</v>
      </c>
    </row>
    <row r="75" spans="1:4" ht="15">
      <c r="A75" s="1332" t="s">
        <v>569</v>
      </c>
      <c r="B75" s="1332"/>
      <c r="C75" s="628"/>
      <c r="D75" s="608">
        <v>880898.24</v>
      </c>
    </row>
    <row r="76" spans="1:4" ht="15">
      <c r="A76" s="1332" t="s">
        <v>570</v>
      </c>
      <c r="B76" s="1332"/>
      <c r="C76" s="607"/>
      <c r="D76" s="608">
        <v>604806.79</v>
      </c>
    </row>
    <row r="77" spans="1:4" ht="15">
      <c r="A77" s="1333" t="s">
        <v>571</v>
      </c>
      <c r="B77" s="1333"/>
      <c r="C77" s="629"/>
      <c r="D77" s="629">
        <v>-276091.45</v>
      </c>
    </row>
    <row r="78" spans="1:4" ht="15">
      <c r="A78" s="1332" t="s">
        <v>179</v>
      </c>
      <c r="B78" s="1332"/>
      <c r="C78" s="1258"/>
      <c r="D78" s="630">
        <v>-276091.45</v>
      </c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2.75">
      <c r="A82" s="1"/>
      <c r="B82" s="1"/>
      <c r="C82" s="1"/>
      <c r="D82" s="1"/>
    </row>
    <row r="83" ht="12.75">
      <c r="A83" s="690" t="s">
        <v>906</v>
      </c>
    </row>
    <row r="84" ht="12.75">
      <c r="A84" s="690" t="s">
        <v>358</v>
      </c>
    </row>
  </sheetData>
  <sheetProtection/>
  <mergeCells count="20">
    <mergeCell ref="A78:B78"/>
    <mergeCell ref="A72:B73"/>
    <mergeCell ref="A75:B75"/>
    <mergeCell ref="A76:B76"/>
    <mergeCell ref="A77:B77"/>
    <mergeCell ref="A17:D17"/>
    <mergeCell ref="A2:B2"/>
    <mergeCell ref="A3:B3"/>
    <mergeCell ref="A4:B4"/>
    <mergeCell ref="A5:B5"/>
    <mergeCell ref="A18:D18"/>
    <mergeCell ref="C1:D1"/>
    <mergeCell ref="C12:D12"/>
    <mergeCell ref="C13:D13"/>
    <mergeCell ref="C14:D14"/>
    <mergeCell ref="C15:D15"/>
    <mergeCell ref="A7:B7"/>
    <mergeCell ref="A9:B10"/>
    <mergeCell ref="C9:D10"/>
    <mergeCell ref="C11:D11"/>
  </mergeCells>
  <printOptions/>
  <pageMargins left="0.1968503937007874" right="0.1968503937007874" top="0.35433070866141736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4">
      <selection activeCell="F40" sqref="F40"/>
    </sheetView>
  </sheetViews>
  <sheetFormatPr defaultColWidth="9.140625" defaultRowHeight="12.75"/>
  <cols>
    <col min="1" max="1" width="60.140625" style="1" customWidth="1"/>
    <col min="2" max="2" width="11.421875" style="1" customWidth="1"/>
    <col min="3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945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440.28+84835.62</f>
        <v>85275.9</v>
      </c>
      <c r="D11" s="136">
        <v>9047.33</v>
      </c>
    </row>
    <row r="12" spans="1:4" ht="15.75" thickBot="1">
      <c r="A12" s="1341" t="s">
        <v>646</v>
      </c>
      <c r="B12" s="1342"/>
      <c r="C12" s="137">
        <f>3528.32+1090791.36</f>
        <v>1094319.6800000002</v>
      </c>
      <c r="D12" s="136">
        <v>27718.23</v>
      </c>
    </row>
    <row r="13" spans="1:4" ht="15.75" thickBot="1">
      <c r="A13" s="1341" t="s">
        <v>647</v>
      </c>
      <c r="B13" s="1342"/>
      <c r="C13" s="135">
        <f>3938.48+1069328.41</f>
        <v>1073266.89</v>
      </c>
      <c r="D13" s="136">
        <v>36765.56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106328.69000000018</v>
      </c>
      <c r="D15" s="136">
        <f>D11+D12-D13</f>
        <v>0</v>
      </c>
    </row>
    <row r="16" spans="1:4" ht="15.75" thickBot="1">
      <c r="A16" s="1341" t="s">
        <v>806</v>
      </c>
      <c r="B16" s="1342"/>
      <c r="C16" s="170">
        <f>D22+D43</f>
        <v>1168585.5299999998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D23+D24+D25+D26+D27</f>
        <v>489511.18999999994</v>
      </c>
    </row>
    <row r="23" spans="1:4" ht="26.25" thickBot="1">
      <c r="A23" s="166" t="s">
        <v>662</v>
      </c>
      <c r="B23" s="64" t="s">
        <v>652</v>
      </c>
      <c r="C23" s="45"/>
      <c r="D23" s="171">
        <v>260658.76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80738.99</v>
      </c>
    </row>
    <row r="25" spans="1:4" ht="25.5" thickBot="1">
      <c r="A25" s="133" t="s">
        <v>658</v>
      </c>
      <c r="B25" s="168" t="s">
        <v>657</v>
      </c>
      <c r="C25" s="145"/>
      <c r="D25" s="171">
        <v>128761.22</v>
      </c>
    </row>
    <row r="26" spans="1:4" ht="15.75" thickBot="1">
      <c r="A26" s="133" t="s">
        <v>799</v>
      </c>
      <c r="B26" s="181" t="s">
        <v>661</v>
      </c>
      <c r="C26" s="182"/>
      <c r="D26" s="183">
        <v>3000</v>
      </c>
    </row>
    <row r="27" spans="1:4" ht="15.75" thickBot="1">
      <c r="A27" s="147" t="s">
        <v>685</v>
      </c>
      <c r="B27" s="184" t="s">
        <v>817</v>
      </c>
      <c r="C27" s="45" t="s">
        <v>801</v>
      </c>
      <c r="D27" s="186">
        <v>16352.22</v>
      </c>
    </row>
    <row r="28" spans="1:4" ht="15.75" thickBot="1">
      <c r="A28" s="148" t="s">
        <v>760</v>
      </c>
      <c r="B28" s="149"/>
      <c r="C28" s="139"/>
      <c r="D28" s="194">
        <f>D30+D32+D33+D34+D35+D37+D38+D39</f>
        <v>234062.26</v>
      </c>
    </row>
    <row r="29" spans="1:4" ht="24.75" thickBot="1">
      <c r="A29" s="150" t="s">
        <v>672</v>
      </c>
      <c r="B29" s="15" t="s">
        <v>920</v>
      </c>
      <c r="C29" s="49" t="s">
        <v>673</v>
      </c>
      <c r="D29" s="176" t="s">
        <v>793</v>
      </c>
    </row>
    <row r="30" spans="1:4" ht="14.25">
      <c r="A30" s="156" t="s">
        <v>816</v>
      </c>
      <c r="B30" s="74" t="s">
        <v>661</v>
      </c>
      <c r="C30" s="153"/>
      <c r="D30" s="177">
        <v>79.73</v>
      </c>
    </row>
    <row r="31" spans="1:4" ht="14.25">
      <c r="A31" s="151" t="s">
        <v>676</v>
      </c>
      <c r="B31" s="116"/>
      <c r="C31" s="153"/>
      <c r="D31" s="177"/>
    </row>
    <row r="32" spans="1:4" ht="14.25">
      <c r="A32" s="157" t="s">
        <v>995</v>
      </c>
      <c r="B32" s="74" t="s">
        <v>661</v>
      </c>
      <c r="C32" s="153"/>
      <c r="D32" s="177">
        <v>54691.76</v>
      </c>
    </row>
    <row r="33" spans="1:4" ht="14.25">
      <c r="A33" s="132" t="s">
        <v>883</v>
      </c>
      <c r="B33" s="74" t="s">
        <v>661</v>
      </c>
      <c r="C33" s="153"/>
      <c r="D33" s="179">
        <f>94632.38+16759.51</f>
        <v>111391.89</v>
      </c>
    </row>
    <row r="34" spans="1:4" ht="14.25">
      <c r="A34" s="157" t="s">
        <v>880</v>
      </c>
      <c r="B34" s="74" t="s">
        <v>661</v>
      </c>
      <c r="C34" s="153"/>
      <c r="D34" s="179">
        <f>3568.16+6112.46</f>
        <v>9680.619999999999</v>
      </c>
    </row>
    <row r="35" spans="1:4" ht="14.25">
      <c r="A35" s="157" t="s">
        <v>925</v>
      </c>
      <c r="B35" s="74" t="s">
        <v>661</v>
      </c>
      <c r="C35" s="153"/>
      <c r="D35" s="180">
        <f>42989.41+2815.47</f>
        <v>45804.880000000005</v>
      </c>
    </row>
    <row r="36" spans="1:4" ht="15">
      <c r="A36" s="151" t="s">
        <v>682</v>
      </c>
      <c r="B36" s="118"/>
      <c r="C36" s="153"/>
      <c r="D36" s="191"/>
    </row>
    <row r="37" spans="1:4" ht="14.25">
      <c r="A37" s="159" t="s">
        <v>886</v>
      </c>
      <c r="B37" s="74" t="s">
        <v>661</v>
      </c>
      <c r="C37" s="153"/>
      <c r="D37" s="192">
        <v>7893.43</v>
      </c>
    </row>
    <row r="38" spans="1:4" ht="14.25">
      <c r="A38" s="159" t="s">
        <v>888</v>
      </c>
      <c r="B38" s="74" t="s">
        <v>661</v>
      </c>
      <c r="C38" s="153"/>
      <c r="D38" s="192">
        <f>652.49+446.05+1657.56+676.69</f>
        <v>3432.79</v>
      </c>
    </row>
    <row r="39" spans="1:4" ht="14.25">
      <c r="A39" s="159" t="s">
        <v>929</v>
      </c>
      <c r="B39" s="74" t="s">
        <v>661</v>
      </c>
      <c r="C39" s="153"/>
      <c r="D39" s="192">
        <v>1087.16</v>
      </c>
    </row>
    <row r="40" spans="1:4" ht="15">
      <c r="A40" s="195" t="s">
        <v>993</v>
      </c>
      <c r="B40" s="74" t="s">
        <v>661</v>
      </c>
      <c r="C40" s="152"/>
      <c r="D40" s="192">
        <f>53291+28523.47</f>
        <v>81814.47</v>
      </c>
    </row>
    <row r="41" spans="1:4" ht="15">
      <c r="A41" s="195" t="s">
        <v>994</v>
      </c>
      <c r="B41" s="158"/>
      <c r="C41" s="152"/>
      <c r="D41" s="192">
        <v>363197.61</v>
      </c>
    </row>
    <row r="42" spans="1:4" ht="14.25" hidden="1">
      <c r="A42" s="157"/>
      <c r="B42" s="153"/>
      <c r="C42" s="152"/>
      <c r="D42" s="160"/>
    </row>
    <row r="43" spans="1:4" ht="15" hidden="1">
      <c r="A43" s="162" t="s">
        <v>821</v>
      </c>
      <c r="B43" s="163"/>
      <c r="C43" s="164"/>
      <c r="D43" s="165">
        <f>SUM(D30:D42)</f>
        <v>679074.34</v>
      </c>
    </row>
    <row r="44" spans="1:4" ht="15">
      <c r="A44" s="71"/>
      <c r="B44" s="11"/>
      <c r="C44" s="11"/>
      <c r="D44" s="11"/>
    </row>
    <row r="45" spans="1:4" ht="15">
      <c r="A45" s="71"/>
      <c r="B45" s="11"/>
      <c r="C45" s="11"/>
      <c r="D45" s="11"/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3" ht="15.75">
      <c r="A48" s="187" t="s">
        <v>921</v>
      </c>
      <c r="B48" s="187"/>
      <c r="C48" s="187" t="s">
        <v>889</v>
      </c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5" ht="15.75">
      <c r="A55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3937007874015748" bottom="0.35433070866141736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99CC"/>
  </sheetPr>
  <dimension ref="A1:E86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0" style="0" hidden="1" customWidth="1"/>
  </cols>
  <sheetData>
    <row r="1" spans="1:4" ht="14.25" hidden="1">
      <c r="A1" s="307" t="s">
        <v>888</v>
      </c>
      <c r="B1" s="298"/>
      <c r="C1" s="299">
        <v>4</v>
      </c>
      <c r="D1" s="302">
        <v>0</v>
      </c>
    </row>
    <row r="2" spans="1:4" ht="14.25" hidden="1">
      <c r="A2" s="307" t="s">
        <v>54</v>
      </c>
      <c r="B2" s="298" t="s">
        <v>885</v>
      </c>
      <c r="C2" s="318">
        <v>1</v>
      </c>
      <c r="D2" s="302">
        <v>0</v>
      </c>
    </row>
    <row r="5" spans="3:4" ht="12.75">
      <c r="C5" s="1364" t="s">
        <v>792</v>
      </c>
      <c r="D5" s="1364"/>
    </row>
    <row r="6" spans="1:4" ht="22.5">
      <c r="A6" s="1331" t="s">
        <v>687</v>
      </c>
      <c r="B6" s="1331"/>
      <c r="C6" s="140"/>
      <c r="D6" s="140"/>
    </row>
    <row r="7" spans="1:4" ht="15.75">
      <c r="A7" s="1363" t="s">
        <v>497</v>
      </c>
      <c r="B7" s="1363"/>
      <c r="C7" s="91"/>
      <c r="D7" s="91"/>
    </row>
    <row r="8" spans="1:4" ht="15.75">
      <c r="A8" s="1363" t="s">
        <v>641</v>
      </c>
      <c r="B8" s="1363"/>
      <c r="C8" s="91"/>
      <c r="D8" s="91"/>
    </row>
    <row r="9" spans="1:4" ht="15.75">
      <c r="A9" s="1363" t="s">
        <v>804</v>
      </c>
      <c r="B9" s="1363"/>
      <c r="C9" s="91"/>
      <c r="D9" s="91"/>
    </row>
    <row r="10" spans="1:3" ht="18.75">
      <c r="A10" s="26"/>
      <c r="B10" s="26"/>
      <c r="C10"/>
    </row>
    <row r="11" spans="1:4" ht="15">
      <c r="A11" s="1343" t="s">
        <v>481</v>
      </c>
      <c r="B11" s="1343"/>
      <c r="C11" s="139"/>
      <c r="D11" s="139"/>
    </row>
    <row r="12" spans="1:4" ht="15">
      <c r="A12" s="324"/>
      <c r="B12" s="324"/>
      <c r="C12" s="139"/>
      <c r="D12" s="139"/>
    </row>
    <row r="13" spans="1:4" ht="12.75" customHeight="1">
      <c r="A13" s="1366" t="s">
        <v>642</v>
      </c>
      <c r="B13" s="1367"/>
      <c r="C13" s="1366" t="s">
        <v>488</v>
      </c>
      <c r="D13" s="1367"/>
    </row>
    <row r="14" spans="1:4" ht="12.75">
      <c r="A14" s="1368"/>
      <c r="B14" s="1369"/>
      <c r="C14" s="1368"/>
      <c r="D14" s="1369"/>
    </row>
    <row r="15" spans="1:4" ht="15">
      <c r="A15" s="372" t="s">
        <v>347</v>
      </c>
      <c r="B15" s="472"/>
      <c r="C15" s="1308">
        <v>62642.22</v>
      </c>
      <c r="D15" s="1309"/>
    </row>
    <row r="16" spans="1:4" ht="14.25">
      <c r="A16" s="471" t="s">
        <v>486</v>
      </c>
      <c r="B16" s="473"/>
      <c r="C16" s="1310">
        <v>1184691.77</v>
      </c>
      <c r="D16" s="1311"/>
    </row>
    <row r="17" spans="1:4" ht="14.25">
      <c r="A17" s="470" t="s">
        <v>647</v>
      </c>
      <c r="B17" s="474"/>
      <c r="C17" s="1312">
        <v>905008.28</v>
      </c>
      <c r="D17" s="1313"/>
    </row>
    <row r="18" spans="1:5" ht="15">
      <c r="A18" s="475" t="s">
        <v>348</v>
      </c>
      <c r="B18" s="476"/>
      <c r="C18" s="1314">
        <f>C15+C16-C17</f>
        <v>342325.70999999996</v>
      </c>
      <c r="D18" s="1372"/>
      <c r="E18" t="s">
        <v>465</v>
      </c>
    </row>
    <row r="19" spans="1:4" ht="14.25">
      <c r="A19" s="470" t="s">
        <v>539</v>
      </c>
      <c r="B19" s="527"/>
      <c r="C19" s="1373">
        <v>565190.49</v>
      </c>
      <c r="D19" s="1374"/>
    </row>
    <row r="20" spans="2:4" ht="12.75">
      <c r="B20" s="83"/>
      <c r="C20" s="81"/>
      <c r="D20" s="314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5.5">
      <c r="A24" s="656" t="s">
        <v>477</v>
      </c>
      <c r="B24" s="407" t="s">
        <v>667</v>
      </c>
      <c r="C24" s="657" t="s">
        <v>673</v>
      </c>
      <c r="D24" s="406"/>
    </row>
    <row r="25" spans="1:4" ht="15.75">
      <c r="A25" s="658" t="s">
        <v>913</v>
      </c>
      <c r="B25" s="659"/>
      <c r="C25" s="144"/>
      <c r="D25" s="688"/>
    </row>
    <row r="26" spans="1:4" ht="26.25">
      <c r="A26" s="492" t="s">
        <v>105</v>
      </c>
      <c r="B26" s="593" t="s">
        <v>652</v>
      </c>
      <c r="C26" s="458"/>
      <c r="D26" s="618">
        <v>99049.82</v>
      </c>
    </row>
    <row r="27" spans="1:4" ht="17.25" customHeight="1">
      <c r="A27" s="492" t="s">
        <v>654</v>
      </c>
      <c r="B27" s="398" t="s">
        <v>656</v>
      </c>
      <c r="C27" s="392" t="s">
        <v>801</v>
      </c>
      <c r="D27" s="393">
        <v>58018.87</v>
      </c>
    </row>
    <row r="28" spans="1:4" ht="15">
      <c r="A28" s="492" t="s">
        <v>473</v>
      </c>
      <c r="B28" s="398" t="s">
        <v>102</v>
      </c>
      <c r="C28" s="392"/>
      <c r="D28" s="393">
        <v>71705.4</v>
      </c>
    </row>
    <row r="29" spans="1:4" ht="24.75">
      <c r="A29" s="546" t="s">
        <v>58</v>
      </c>
      <c r="B29" s="399" t="s">
        <v>657</v>
      </c>
      <c r="C29" s="392"/>
      <c r="D29" s="393">
        <v>56406</v>
      </c>
    </row>
    <row r="30" spans="1:4" ht="24.75">
      <c r="A30" s="492" t="s">
        <v>14</v>
      </c>
      <c r="B30" s="397" t="s">
        <v>657</v>
      </c>
      <c r="C30" s="404"/>
      <c r="D30" s="396">
        <v>72546.99</v>
      </c>
    </row>
    <row r="31" spans="1:4" ht="29.25">
      <c r="A31" s="492" t="s">
        <v>187</v>
      </c>
      <c r="B31" s="399"/>
      <c r="C31" s="400"/>
      <c r="D31" s="393">
        <v>5152.83</v>
      </c>
    </row>
    <row r="32" spans="1:4" ht="15">
      <c r="A32" s="546" t="s">
        <v>799</v>
      </c>
      <c r="B32" s="625" t="s">
        <v>661</v>
      </c>
      <c r="C32" s="625"/>
      <c r="D32" s="626">
        <v>5071.82</v>
      </c>
    </row>
    <row r="33" spans="1:4" ht="15.75" thickBot="1">
      <c r="A33" s="413" t="s">
        <v>188</v>
      </c>
      <c r="B33" s="609" t="s">
        <v>661</v>
      </c>
      <c r="C33" s="617"/>
      <c r="D33" s="618">
        <v>374.17</v>
      </c>
    </row>
    <row r="34" spans="1:4" ht="15.75" thickBot="1">
      <c r="A34" s="805" t="s">
        <v>701</v>
      </c>
      <c r="B34" s="980"/>
      <c r="C34" s="796"/>
      <c r="D34" s="940">
        <v>368325.9</v>
      </c>
    </row>
    <row r="35" spans="1:4" ht="15.75" thickBot="1">
      <c r="A35" s="487" t="s">
        <v>914</v>
      </c>
      <c r="B35" s="461"/>
      <c r="C35" s="462"/>
      <c r="D35" s="463"/>
    </row>
    <row r="36" spans="1:4" ht="15">
      <c r="A36" s="943" t="s">
        <v>733</v>
      </c>
      <c r="B36" s="433" t="s">
        <v>920</v>
      </c>
      <c r="C36" s="443" t="s">
        <v>673</v>
      </c>
      <c r="D36" s="444"/>
    </row>
    <row r="37" spans="1:4" ht="15">
      <c r="A37" s="376" t="s">
        <v>109</v>
      </c>
      <c r="B37" s="382" t="s">
        <v>40</v>
      </c>
      <c r="C37" s="652">
        <v>4</v>
      </c>
      <c r="D37" s="598">
        <v>5074.52</v>
      </c>
    </row>
    <row r="38" spans="1:4" ht="15">
      <c r="A38" s="369" t="s">
        <v>189</v>
      </c>
      <c r="B38" s="358" t="s">
        <v>817</v>
      </c>
      <c r="C38" s="615">
        <v>3</v>
      </c>
      <c r="D38" s="532">
        <v>13600</v>
      </c>
    </row>
    <row r="39" spans="1:4" ht="15.75" thickBot="1">
      <c r="A39" s="843" t="s">
        <v>462</v>
      </c>
      <c r="B39" s="381"/>
      <c r="C39" s="616">
        <v>1</v>
      </c>
      <c r="D39" s="541">
        <v>9481.08</v>
      </c>
    </row>
    <row r="40" spans="1:4" ht="15.75" thickBot="1">
      <c r="A40" s="806" t="s">
        <v>701</v>
      </c>
      <c r="B40" s="957"/>
      <c r="C40" s="462"/>
      <c r="D40" s="858">
        <v>28155.6</v>
      </c>
    </row>
    <row r="41" spans="1:4" ht="15">
      <c r="A41" s="943" t="s">
        <v>190</v>
      </c>
      <c r="B41" s="385"/>
      <c r="C41" s="652"/>
      <c r="D41" s="441"/>
    </row>
    <row r="42" spans="1:4" ht="15.75">
      <c r="A42" s="554" t="s">
        <v>378</v>
      </c>
      <c r="B42" s="358" t="s">
        <v>40</v>
      </c>
      <c r="C42" s="615">
        <v>1</v>
      </c>
      <c r="D42" s="532">
        <v>27316.22</v>
      </c>
    </row>
    <row r="43" spans="1:4" ht="15.75">
      <c r="A43" s="554" t="s">
        <v>191</v>
      </c>
      <c r="B43" s="358" t="s">
        <v>40</v>
      </c>
      <c r="C43" s="615">
        <v>3</v>
      </c>
      <c r="D43" s="532">
        <v>1496.26</v>
      </c>
    </row>
    <row r="44" spans="1:4" ht="16.5" thickBot="1">
      <c r="A44" s="833" t="s">
        <v>64</v>
      </c>
      <c r="B44" s="358" t="s">
        <v>328</v>
      </c>
      <c r="C44" s="616">
        <v>2</v>
      </c>
      <c r="D44" s="541">
        <v>242.59</v>
      </c>
    </row>
    <row r="45" spans="1:4" ht="16.5" thickBot="1">
      <c r="A45" s="829" t="s">
        <v>701</v>
      </c>
      <c r="B45" s="1057"/>
      <c r="C45" s="936"/>
      <c r="D45" s="858">
        <v>29055.07</v>
      </c>
    </row>
    <row r="46" spans="1:4" ht="15.75">
      <c r="A46" s="876" t="s">
        <v>192</v>
      </c>
      <c r="B46" s="358"/>
      <c r="C46" s="652"/>
      <c r="D46" s="598"/>
    </row>
    <row r="47" spans="1:4" ht="16.5" thickBot="1">
      <c r="A47" s="942" t="s">
        <v>882</v>
      </c>
      <c r="B47" s="358" t="s">
        <v>40</v>
      </c>
      <c r="C47" s="616">
        <v>1</v>
      </c>
      <c r="D47" s="439">
        <v>2816.78</v>
      </c>
    </row>
    <row r="48" spans="1:4" ht="16.5" thickBot="1">
      <c r="A48" s="829" t="s">
        <v>701</v>
      </c>
      <c r="B48" s="1057"/>
      <c r="C48" s="936"/>
      <c r="D48" s="858">
        <v>2816.78</v>
      </c>
    </row>
    <row r="49" spans="1:4" ht="15">
      <c r="A49" s="808" t="s">
        <v>451</v>
      </c>
      <c r="B49" s="358"/>
      <c r="C49" s="652"/>
      <c r="D49" s="835"/>
    </row>
    <row r="50" spans="1:4" ht="15">
      <c r="A50" s="359" t="s">
        <v>235</v>
      </c>
      <c r="B50" s="358" t="s">
        <v>211</v>
      </c>
      <c r="C50" s="615">
        <v>2</v>
      </c>
      <c r="D50" s="541">
        <v>1543.06</v>
      </c>
    </row>
    <row r="51" spans="1:4" ht="15.75" thickBot="1">
      <c r="A51" s="989" t="s">
        <v>727</v>
      </c>
      <c r="B51" s="320"/>
      <c r="C51" s="439">
        <v>3</v>
      </c>
      <c r="D51" s="541">
        <v>1451.56</v>
      </c>
    </row>
    <row r="52" spans="1:4" ht="16.5" thickBot="1">
      <c r="A52" s="829" t="s">
        <v>701</v>
      </c>
      <c r="B52" s="1057"/>
      <c r="C52" s="936"/>
      <c r="D52" s="858">
        <v>2994.62</v>
      </c>
    </row>
    <row r="53" spans="1:4" ht="15.75">
      <c r="A53" s="876" t="s">
        <v>362</v>
      </c>
      <c r="B53" s="358"/>
      <c r="C53" s="652"/>
      <c r="D53" s="835"/>
    </row>
    <row r="54" spans="1:4" ht="15.75">
      <c r="A54" s="554" t="s">
        <v>237</v>
      </c>
      <c r="B54" s="358" t="s">
        <v>40</v>
      </c>
      <c r="C54" s="615">
        <v>1</v>
      </c>
      <c r="D54" s="541">
        <v>529.06</v>
      </c>
    </row>
    <row r="55" spans="1:4" ht="15">
      <c r="A55" s="359" t="s">
        <v>695</v>
      </c>
      <c r="B55" s="364"/>
      <c r="C55" s="615">
        <v>1</v>
      </c>
      <c r="D55" s="541">
        <v>664.52</v>
      </c>
    </row>
    <row r="56" spans="1:4" ht="16.5" thickBot="1">
      <c r="A56" s="833"/>
      <c r="B56" s="364"/>
      <c r="C56" s="616"/>
      <c r="D56" s="541"/>
    </row>
    <row r="57" spans="1:4" ht="16.5" thickBot="1">
      <c r="A57" s="829" t="s">
        <v>701</v>
      </c>
      <c r="B57" s="1058"/>
      <c r="C57" s="936"/>
      <c r="D57" s="858">
        <v>1193.58</v>
      </c>
    </row>
    <row r="58" spans="1:4" ht="15.75">
      <c r="A58" s="1061" t="s">
        <v>386</v>
      </c>
      <c r="B58" s="364"/>
      <c r="C58" s="441"/>
      <c r="D58" s="1051"/>
    </row>
    <row r="59" spans="1:4" ht="16.5" thickBot="1">
      <c r="A59" s="1060" t="s">
        <v>886</v>
      </c>
      <c r="B59" s="364" t="s">
        <v>40</v>
      </c>
      <c r="C59" s="439">
        <v>4</v>
      </c>
      <c r="D59" s="541">
        <v>2198.86</v>
      </c>
    </row>
    <row r="60" spans="1:4" ht="16.5" thickBot="1">
      <c r="A60" s="1062" t="s">
        <v>701</v>
      </c>
      <c r="B60" s="725"/>
      <c r="C60" s="936"/>
      <c r="D60" s="858">
        <v>2198.86</v>
      </c>
    </row>
    <row r="61" spans="1:4" ht="15.75">
      <c r="A61" s="547"/>
      <c r="B61" s="382"/>
      <c r="C61" s="652"/>
      <c r="D61" s="835"/>
    </row>
    <row r="62" spans="1:4" ht="15.75">
      <c r="A62" s="1056" t="s">
        <v>375</v>
      </c>
      <c r="B62" s="358"/>
      <c r="C62" s="615"/>
      <c r="D62" s="1039">
        <v>66414.51</v>
      </c>
    </row>
    <row r="63" spans="1:4" ht="15">
      <c r="A63" s="369"/>
      <c r="B63" s="358"/>
      <c r="C63" s="615"/>
      <c r="D63" s="426"/>
    </row>
    <row r="64" spans="1:4" ht="15">
      <c r="A64" s="943" t="s">
        <v>453</v>
      </c>
      <c r="B64" s="368"/>
      <c r="C64" s="615"/>
      <c r="D64" s="428">
        <v>21488.7</v>
      </c>
    </row>
    <row r="65" spans="1:4" ht="15">
      <c r="A65" s="1055" t="s">
        <v>904</v>
      </c>
      <c r="B65" s="358"/>
      <c r="C65" s="615"/>
      <c r="D65" s="428">
        <v>4578.73</v>
      </c>
    </row>
    <row r="66" spans="1:4" ht="15">
      <c r="A66" s="1055" t="s">
        <v>735</v>
      </c>
      <c r="B66" s="358"/>
      <c r="C66" s="615"/>
      <c r="D66" s="1077">
        <v>104382.65</v>
      </c>
    </row>
    <row r="67" spans="1:4" ht="15.75" thickBot="1">
      <c r="A67" s="972"/>
      <c r="B67" s="381"/>
      <c r="C67" s="616"/>
      <c r="D67" s="439"/>
    </row>
    <row r="68" spans="1:4" ht="15.75" thickBot="1">
      <c r="A68" s="806" t="s">
        <v>918</v>
      </c>
      <c r="B68" s="957"/>
      <c r="C68" s="550"/>
      <c r="D68" s="863">
        <v>565190.49</v>
      </c>
    </row>
    <row r="69" spans="1:4" ht="15">
      <c r="A69" s="1054"/>
      <c r="B69" s="382"/>
      <c r="C69" s="900"/>
      <c r="D69" s="441"/>
    </row>
    <row r="70" spans="1:4" ht="15">
      <c r="A70" s="196"/>
      <c r="B70" s="196"/>
      <c r="C70" s="196"/>
      <c r="D70" s="197"/>
    </row>
    <row r="71" spans="1:4" ht="12.75">
      <c r="A71" s="1353"/>
      <c r="B71" s="1354"/>
      <c r="C71" s="374"/>
      <c r="D71" s="442"/>
    </row>
    <row r="72" spans="1:4" ht="12.75">
      <c r="A72" s="1355"/>
      <c r="B72" s="1356"/>
      <c r="C72" s="559"/>
      <c r="D72" s="559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250" t="s">
        <v>34</v>
      </c>
      <c r="B74" s="1250"/>
      <c r="C74" s="628"/>
      <c r="D74" s="608">
        <v>905008.28</v>
      </c>
    </row>
    <row r="75" spans="1:4" ht="15">
      <c r="A75" s="1332" t="s">
        <v>570</v>
      </c>
      <c r="B75" s="1332"/>
      <c r="C75" s="607"/>
      <c r="D75" s="608">
        <v>565190.49</v>
      </c>
    </row>
    <row r="76" spans="1:4" ht="15">
      <c r="A76" s="1333" t="s">
        <v>571</v>
      </c>
      <c r="B76" s="1333"/>
      <c r="C76" s="629"/>
      <c r="D76" s="629">
        <v>-339817.79</v>
      </c>
    </row>
    <row r="77" spans="1:4" ht="15">
      <c r="A77" s="1332" t="s">
        <v>179</v>
      </c>
      <c r="B77" s="1332"/>
      <c r="C77" s="1258"/>
      <c r="D77" s="630">
        <v>-339817.79</v>
      </c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5">
      <c r="A82" s="538"/>
      <c r="B82" s="538"/>
      <c r="C82" s="1259"/>
      <c r="D82" s="1260"/>
    </row>
    <row r="84" ht="12.75">
      <c r="A84" s="735" t="s">
        <v>357</v>
      </c>
    </row>
    <row r="85" ht="12.75">
      <c r="A85" s="735" t="s">
        <v>906</v>
      </c>
    </row>
    <row r="86" ht="12.75">
      <c r="A86" s="735" t="s">
        <v>358</v>
      </c>
    </row>
  </sheetData>
  <sheetProtection/>
  <mergeCells count="19">
    <mergeCell ref="A77:B77"/>
    <mergeCell ref="A71:B72"/>
    <mergeCell ref="A75:B75"/>
    <mergeCell ref="A76:B76"/>
    <mergeCell ref="C19:D19"/>
    <mergeCell ref="A21:D21"/>
    <mergeCell ref="A22:D22"/>
    <mergeCell ref="C15:D15"/>
    <mergeCell ref="C16:D16"/>
    <mergeCell ref="C17:D17"/>
    <mergeCell ref="C18:D18"/>
    <mergeCell ref="C5:D5"/>
    <mergeCell ref="A6:B6"/>
    <mergeCell ref="A7:B7"/>
    <mergeCell ref="A8:B8"/>
    <mergeCell ref="A9:B9"/>
    <mergeCell ref="A11:B11"/>
    <mergeCell ref="A13:B14"/>
    <mergeCell ref="C13:D14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5" sqref="A15:B16"/>
    </sheetView>
  </sheetViews>
  <sheetFormatPr defaultColWidth="9.140625" defaultRowHeight="12.75"/>
  <cols>
    <col min="1" max="1" width="60.140625" style="1" customWidth="1"/>
    <col min="2" max="2" width="11.57421875" style="1" customWidth="1"/>
    <col min="3" max="3" width="15.710937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946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339.56+108486.49</f>
        <v>108826.05</v>
      </c>
      <c r="D11" s="136">
        <v>8460.11</v>
      </c>
    </row>
    <row r="12" spans="1:4" ht="15.75" thickBot="1">
      <c r="A12" s="1341" t="s">
        <v>646</v>
      </c>
      <c r="B12" s="1342"/>
      <c r="C12" s="137">
        <f>3318.88+1077713</f>
        <v>1081031.88</v>
      </c>
      <c r="D12" s="136">
        <v>26864.82</v>
      </c>
    </row>
    <row r="13" spans="1:4" ht="15.75" thickBot="1">
      <c r="A13" s="1341" t="s">
        <v>647</v>
      </c>
      <c r="B13" s="1342"/>
      <c r="C13" s="135">
        <f>3638.36+1054240.69</f>
        <v>1057879.05</v>
      </c>
      <c r="D13" s="136">
        <v>35324.93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5296.56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131978.8799999999</v>
      </c>
      <c r="D17" s="136">
        <f>D11+D12-D13</f>
        <v>0</v>
      </c>
    </row>
    <row r="18" spans="1:4" ht="15.75" thickBot="1">
      <c r="A18" s="1341" t="s">
        <v>806</v>
      </c>
      <c r="B18" s="1342"/>
      <c r="C18" s="170">
        <f>D24+D44+D43</f>
        <v>1129268.86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D25+D26+D27+D29+D28</f>
        <v>321625.51999999996</v>
      </c>
    </row>
    <row r="25" spans="1:4" ht="26.25" thickBot="1">
      <c r="A25" s="166" t="s">
        <v>662</v>
      </c>
      <c r="B25" s="64" t="s">
        <v>652</v>
      </c>
      <c r="C25" s="45"/>
      <c r="D25" s="171">
        <v>104783.4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79146.5</v>
      </c>
    </row>
    <row r="27" spans="1:4" ht="25.5" thickBot="1">
      <c r="A27" s="133" t="s">
        <v>658</v>
      </c>
      <c r="B27" s="168" t="s">
        <v>657</v>
      </c>
      <c r="C27" s="145"/>
      <c r="D27" s="171">
        <v>119321.32</v>
      </c>
    </row>
    <row r="28" spans="1:4" ht="15.75" thickBot="1">
      <c r="A28" s="189" t="s">
        <v>931</v>
      </c>
      <c r="B28" s="119" t="s">
        <v>661</v>
      </c>
      <c r="C28" s="182"/>
      <c r="D28" s="183">
        <v>2120.89</v>
      </c>
    </row>
    <row r="29" spans="1:4" ht="15.75" thickBot="1">
      <c r="A29" s="147" t="s">
        <v>685</v>
      </c>
      <c r="B29" s="184" t="s">
        <v>817</v>
      </c>
      <c r="C29" s="45" t="s">
        <v>801</v>
      </c>
      <c r="D29" s="186">
        <v>16253.41</v>
      </c>
    </row>
    <row r="30" spans="1:4" ht="15.75" thickBot="1">
      <c r="A30" s="148" t="s">
        <v>760</v>
      </c>
      <c r="B30" s="149"/>
      <c r="C30" s="139"/>
      <c r="D30" s="194">
        <f>D32+D34+D35+D36+D38+D39+D40+D41+D42</f>
        <v>615406.3400000001</v>
      </c>
    </row>
    <row r="31" spans="1:4" ht="24.75" thickBot="1">
      <c r="A31" s="150" t="s">
        <v>672</v>
      </c>
      <c r="B31" s="15" t="s">
        <v>920</v>
      </c>
      <c r="C31" s="49" t="s">
        <v>673</v>
      </c>
      <c r="D31" s="176" t="s">
        <v>793</v>
      </c>
    </row>
    <row r="32" spans="1:4" ht="14.25">
      <c r="A32" s="188" t="s">
        <v>930</v>
      </c>
      <c r="B32" s="74" t="s">
        <v>661</v>
      </c>
      <c r="C32" s="153"/>
      <c r="D32" s="177">
        <v>70350</v>
      </c>
    </row>
    <row r="33" spans="1:4" ht="14.25">
      <c r="A33" s="151" t="s">
        <v>676</v>
      </c>
      <c r="B33" s="116"/>
      <c r="C33" s="153"/>
      <c r="D33" s="177"/>
    </row>
    <row r="34" spans="1:4" ht="14.25">
      <c r="A34" s="157" t="s">
        <v>995</v>
      </c>
      <c r="B34" s="74" t="s">
        <v>661</v>
      </c>
      <c r="C34" s="153"/>
      <c r="D34" s="178">
        <f>2948.65+1331.88</f>
        <v>4280.530000000001</v>
      </c>
    </row>
    <row r="35" spans="1:4" ht="14.25">
      <c r="A35" s="132" t="s">
        <v>883</v>
      </c>
      <c r="B35" s="74" t="s">
        <v>661</v>
      </c>
      <c r="C35" s="153"/>
      <c r="D35" s="179">
        <f>32090.41+3869.26</f>
        <v>35959.67</v>
      </c>
    </row>
    <row r="36" spans="1:4" ht="14.25">
      <c r="A36" s="157" t="s">
        <v>880</v>
      </c>
      <c r="B36" s="74" t="s">
        <v>661</v>
      </c>
      <c r="C36" s="153"/>
      <c r="D36" s="179">
        <v>2205.83</v>
      </c>
    </row>
    <row r="37" spans="1:4" ht="15">
      <c r="A37" s="151" t="s">
        <v>682</v>
      </c>
      <c r="B37" s="118"/>
      <c r="C37" s="153"/>
      <c r="D37" s="191"/>
    </row>
    <row r="38" spans="1:4" ht="14.25">
      <c r="A38" s="159" t="s">
        <v>886</v>
      </c>
      <c r="B38" s="74" t="s">
        <v>661</v>
      </c>
      <c r="C38" s="153"/>
      <c r="D38" s="192">
        <v>5439.6</v>
      </c>
    </row>
    <row r="39" spans="1:4" ht="14.25">
      <c r="A39" s="159" t="s">
        <v>888</v>
      </c>
      <c r="B39" s="74" t="s">
        <v>661</v>
      </c>
      <c r="C39" s="153"/>
      <c r="D39" s="192">
        <f>411.46+484.39+930.22+1274.37+446.05+293.6+6933.46+2217.22</f>
        <v>12990.769999999999</v>
      </c>
    </row>
    <row r="40" spans="1:4" ht="14.25">
      <c r="A40" s="159" t="s">
        <v>929</v>
      </c>
      <c r="B40" s="74" t="s">
        <v>661</v>
      </c>
      <c r="C40" s="152"/>
      <c r="D40" s="192">
        <v>1079.96</v>
      </c>
    </row>
    <row r="41" spans="1:4" ht="15">
      <c r="A41" s="195" t="s">
        <v>993</v>
      </c>
      <c r="B41" s="74" t="s">
        <v>661</v>
      </c>
      <c r="C41" s="152"/>
      <c r="D41" s="192">
        <f>98032+29657.64</f>
        <v>127689.64</v>
      </c>
    </row>
    <row r="42" spans="1:4" ht="15.75" thickBot="1">
      <c r="A42" s="198" t="s">
        <v>994</v>
      </c>
      <c r="B42" s="74" t="s">
        <v>661</v>
      </c>
      <c r="C42" s="199"/>
      <c r="D42" s="210">
        <f>355410.34</f>
        <v>355410.34</v>
      </c>
    </row>
    <row r="43" spans="1:4" ht="15.75" thickBot="1">
      <c r="A43" s="205" t="s">
        <v>996</v>
      </c>
      <c r="B43" s="275" t="s">
        <v>661</v>
      </c>
      <c r="C43" s="204"/>
      <c r="D43" s="211">
        <v>192237</v>
      </c>
    </row>
    <row r="44" spans="1:4" ht="15" hidden="1">
      <c r="A44" s="200" t="s">
        <v>821</v>
      </c>
      <c r="B44" s="201"/>
      <c r="C44" s="202"/>
      <c r="D44" s="203">
        <f>SUM(D32:D42)</f>
        <v>615406.3400000001</v>
      </c>
    </row>
    <row r="45" spans="1:4" ht="15">
      <c r="A45" s="71"/>
      <c r="B45" s="11"/>
      <c r="C45" s="11"/>
      <c r="D45" s="11"/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4" ht="15">
      <c r="A48" s="71"/>
      <c r="B48" s="11"/>
      <c r="C48" s="11"/>
      <c r="D48" s="11"/>
    </row>
    <row r="49" spans="1:3" ht="15.75">
      <c r="A49" s="187" t="s">
        <v>921</v>
      </c>
      <c r="B49" s="187"/>
      <c r="C49" s="187" t="s">
        <v>889</v>
      </c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6" ht="15.75">
      <c r="A56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9448818897637796" bottom="0.15748031496062992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99CC"/>
  </sheetPr>
  <dimension ref="A3:H8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spans="3:4" ht="12.75">
      <c r="C3" s="1364" t="s">
        <v>792</v>
      </c>
      <c r="D3" s="1364"/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3.5" customHeight="1">
      <c r="A8" s="26"/>
      <c r="B8" s="26"/>
      <c r="C8"/>
    </row>
    <row r="9" spans="1:4" ht="15">
      <c r="A9" s="1343" t="s">
        <v>482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71995.6</v>
      </c>
      <c r="D13" s="1309"/>
    </row>
    <row r="14" spans="1:4" ht="14.25">
      <c r="A14" s="471" t="s">
        <v>538</v>
      </c>
      <c r="B14" s="473"/>
      <c r="C14" s="1310">
        <v>1167747.52</v>
      </c>
      <c r="D14" s="1311"/>
    </row>
    <row r="15" spans="1:7" ht="14.25">
      <c r="A15" s="470" t="s">
        <v>647</v>
      </c>
      <c r="B15" s="474"/>
      <c r="C15" s="1312">
        <v>979598.39</v>
      </c>
      <c r="D15" s="1313"/>
      <c r="G15" t="s">
        <v>465</v>
      </c>
    </row>
    <row r="16" spans="1:5" ht="15">
      <c r="A16" s="475" t="s">
        <v>348</v>
      </c>
      <c r="B16" s="476"/>
      <c r="C16" s="1314">
        <f>C13+C14-C15</f>
        <v>260144.7300000001</v>
      </c>
      <c r="D16" s="1372"/>
      <c r="E16" t="s">
        <v>465</v>
      </c>
    </row>
    <row r="17" spans="1:4" ht="14.25">
      <c r="A17" s="470" t="s">
        <v>859</v>
      </c>
      <c r="B17" s="527"/>
      <c r="C17" s="1373">
        <v>659382.42</v>
      </c>
      <c r="D17" s="1374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660" t="s">
        <v>477</v>
      </c>
      <c r="B22" s="482" t="s">
        <v>667</v>
      </c>
      <c r="C22" s="409" t="s">
        <v>673</v>
      </c>
      <c r="D22" s="453" t="s">
        <v>793</v>
      </c>
    </row>
    <row r="23" spans="1:4" ht="16.5" thickBot="1">
      <c r="A23" s="477" t="s">
        <v>913</v>
      </c>
      <c r="B23" s="483"/>
      <c r="C23" s="456"/>
      <c r="D23" s="664"/>
    </row>
    <row r="24" spans="1:4" ht="26.25">
      <c r="A24" s="546" t="s">
        <v>105</v>
      </c>
      <c r="B24" s="394" t="s">
        <v>652</v>
      </c>
      <c r="C24" s="395"/>
      <c r="D24" s="396">
        <v>98151.26</v>
      </c>
    </row>
    <row r="25" spans="1:4" ht="15">
      <c r="A25" s="492" t="s">
        <v>654</v>
      </c>
      <c r="B25" s="398" t="s">
        <v>656</v>
      </c>
      <c r="C25" s="392" t="s">
        <v>801</v>
      </c>
      <c r="D25" s="393">
        <v>57505.13</v>
      </c>
    </row>
    <row r="26" spans="1:4" ht="15">
      <c r="A26" s="492" t="s">
        <v>473</v>
      </c>
      <c r="B26" s="398" t="s">
        <v>102</v>
      </c>
      <c r="C26" s="392"/>
      <c r="D26" s="393">
        <v>71705.4</v>
      </c>
    </row>
    <row r="27" spans="1:4" ht="24.75">
      <c r="A27" s="546" t="s">
        <v>58</v>
      </c>
      <c r="B27" s="399" t="s">
        <v>657</v>
      </c>
      <c r="C27" s="392"/>
      <c r="D27" s="393">
        <v>55894</v>
      </c>
    </row>
    <row r="28" spans="1:4" ht="24.75">
      <c r="A28" s="492" t="s">
        <v>14</v>
      </c>
      <c r="B28" s="397" t="s">
        <v>657</v>
      </c>
      <c r="C28" s="404"/>
      <c r="D28" s="396">
        <v>71888.86</v>
      </c>
    </row>
    <row r="29" spans="1:4" ht="15">
      <c r="A29" s="492" t="s">
        <v>202</v>
      </c>
      <c r="B29" s="399"/>
      <c r="C29" s="400"/>
      <c r="D29" s="393">
        <v>5106.09</v>
      </c>
    </row>
    <row r="30" spans="1:7" ht="15.75" thickBot="1">
      <c r="A30" s="675" t="s">
        <v>799</v>
      </c>
      <c r="B30" s="820" t="s">
        <v>661</v>
      </c>
      <c r="C30" s="617"/>
      <c r="D30" s="618">
        <v>5061.44</v>
      </c>
      <c r="G30" t="s">
        <v>465</v>
      </c>
    </row>
    <row r="31" spans="1:4" ht="15.75" thickBot="1">
      <c r="A31" s="1066" t="s">
        <v>701</v>
      </c>
      <c r="B31" s="980"/>
      <c r="C31" s="796"/>
      <c r="D31" s="940">
        <v>365312.18</v>
      </c>
    </row>
    <row r="32" spans="1:4" ht="15.75" thickBot="1">
      <c r="A32" s="487" t="s">
        <v>193</v>
      </c>
      <c r="B32" s="461"/>
      <c r="C32" s="462"/>
      <c r="D32" s="463"/>
    </row>
    <row r="33" spans="1:8" ht="24">
      <c r="A33" s="943" t="s">
        <v>194</v>
      </c>
      <c r="B33" s="433" t="s">
        <v>920</v>
      </c>
      <c r="C33" s="443" t="s">
        <v>673</v>
      </c>
      <c r="D33" s="444" t="s">
        <v>793</v>
      </c>
      <c r="H33" s="1067"/>
    </row>
    <row r="34" spans="1:4" ht="15">
      <c r="A34" s="359" t="s">
        <v>195</v>
      </c>
      <c r="B34" s="410"/>
      <c r="C34" s="410">
        <v>3</v>
      </c>
      <c r="D34" s="1064">
        <v>1227.6</v>
      </c>
    </row>
    <row r="35" spans="1:4" ht="15.75" thickBot="1">
      <c r="A35" s="843" t="s">
        <v>203</v>
      </c>
      <c r="B35" s="834"/>
      <c r="C35" s="836"/>
      <c r="D35" s="541">
        <v>9397.14</v>
      </c>
    </row>
    <row r="36" spans="1:4" ht="15.75" thickBot="1">
      <c r="A36" s="806" t="s">
        <v>701</v>
      </c>
      <c r="B36" s="957"/>
      <c r="C36" s="462"/>
      <c r="D36" s="858">
        <v>10624.74</v>
      </c>
    </row>
    <row r="37" spans="1:4" ht="15">
      <c r="A37" s="943" t="s">
        <v>457</v>
      </c>
      <c r="B37" s="385"/>
      <c r="C37" s="652"/>
      <c r="D37" s="441"/>
    </row>
    <row r="38" spans="1:4" ht="15.75">
      <c r="A38" s="554" t="s">
        <v>378</v>
      </c>
      <c r="B38" s="365" t="s">
        <v>478</v>
      </c>
      <c r="C38" s="615">
        <v>1</v>
      </c>
      <c r="D38" s="532">
        <v>27585.88</v>
      </c>
    </row>
    <row r="39" spans="1:4" ht="15.75">
      <c r="A39" s="554" t="s">
        <v>393</v>
      </c>
      <c r="B39" s="365"/>
      <c r="C39" s="615">
        <v>4</v>
      </c>
      <c r="D39" s="532">
        <v>8258.43</v>
      </c>
    </row>
    <row r="40" spans="1:4" ht="15.75">
      <c r="A40" s="554" t="s">
        <v>198</v>
      </c>
      <c r="B40" s="365" t="s">
        <v>478</v>
      </c>
      <c r="C40" s="615">
        <v>1</v>
      </c>
      <c r="D40" s="532">
        <v>45.83</v>
      </c>
    </row>
    <row r="41" spans="1:4" ht="15">
      <c r="A41" s="359" t="s">
        <v>222</v>
      </c>
      <c r="B41" s="365" t="s">
        <v>211</v>
      </c>
      <c r="C41" s="615">
        <v>1</v>
      </c>
      <c r="D41" s="532">
        <v>6085.77</v>
      </c>
    </row>
    <row r="42" spans="1:4" ht="16.5" thickBot="1">
      <c r="A42" s="942" t="s">
        <v>239</v>
      </c>
      <c r="B42" s="758" t="s">
        <v>478</v>
      </c>
      <c r="C42" s="616">
        <v>1</v>
      </c>
      <c r="D42" s="439">
        <v>539.45</v>
      </c>
    </row>
    <row r="43" spans="1:4" ht="16.5" thickBot="1">
      <c r="A43" s="829" t="s">
        <v>701</v>
      </c>
      <c r="B43" s="811"/>
      <c r="C43" s="550"/>
      <c r="D43" s="858">
        <v>42515.36</v>
      </c>
    </row>
    <row r="44" spans="1:4" ht="15.75">
      <c r="A44" s="876" t="s">
        <v>192</v>
      </c>
      <c r="B44" s="570"/>
      <c r="C44" s="652"/>
      <c r="D44" s="835"/>
    </row>
    <row r="45" spans="1:4" ht="15.75">
      <c r="A45" s="554" t="s">
        <v>212</v>
      </c>
      <c r="B45" s="365" t="s">
        <v>81</v>
      </c>
      <c r="C45" s="615">
        <v>1</v>
      </c>
      <c r="D45" s="541">
        <v>1617.33</v>
      </c>
    </row>
    <row r="46" spans="1:4" ht="15.75" thickBot="1">
      <c r="A46" s="807" t="s">
        <v>196</v>
      </c>
      <c r="B46" s="758"/>
      <c r="C46" s="616">
        <v>3</v>
      </c>
      <c r="D46" s="541">
        <v>8668.26</v>
      </c>
    </row>
    <row r="47" spans="1:4" ht="16.5" thickBot="1">
      <c r="A47" s="829" t="s">
        <v>701</v>
      </c>
      <c r="B47" s="811"/>
      <c r="C47" s="550"/>
      <c r="D47" s="1059">
        <v>10285.59</v>
      </c>
    </row>
    <row r="48" spans="1:4" ht="15.75">
      <c r="A48" s="876" t="s">
        <v>451</v>
      </c>
      <c r="B48" s="570"/>
      <c r="C48" s="652"/>
      <c r="D48" s="532"/>
    </row>
    <row r="49" spans="1:4" ht="15.75">
      <c r="A49" s="547" t="s">
        <v>201</v>
      </c>
      <c r="B49" s="570" t="s">
        <v>478</v>
      </c>
      <c r="C49" s="661">
        <v>3</v>
      </c>
      <c r="D49" s="835">
        <v>14998.53</v>
      </c>
    </row>
    <row r="50" spans="1:4" ht="15.75">
      <c r="A50" s="547" t="s">
        <v>199</v>
      </c>
      <c r="B50" s="570" t="s">
        <v>478</v>
      </c>
      <c r="C50" s="421">
        <v>2</v>
      </c>
      <c r="D50" s="532">
        <v>2273.25</v>
      </c>
    </row>
    <row r="51" spans="1:4" ht="15.75">
      <c r="A51" s="547" t="s">
        <v>78</v>
      </c>
      <c r="B51" s="570" t="s">
        <v>478</v>
      </c>
      <c r="C51" s="652">
        <v>1</v>
      </c>
      <c r="D51" s="532">
        <v>3754.1</v>
      </c>
    </row>
    <row r="52" spans="1:4" ht="15.75">
      <c r="A52" s="547" t="s">
        <v>197</v>
      </c>
      <c r="B52" s="570"/>
      <c r="C52" s="652">
        <v>3</v>
      </c>
      <c r="D52" s="835">
        <v>1059.38</v>
      </c>
    </row>
    <row r="53" spans="1:4" ht="16.5" thickBot="1">
      <c r="A53" s="942" t="s">
        <v>235</v>
      </c>
      <c r="B53" s="834" t="s">
        <v>211</v>
      </c>
      <c r="C53" s="661">
        <v>4</v>
      </c>
      <c r="D53" s="541">
        <v>24850.18</v>
      </c>
    </row>
    <row r="54" spans="1:4" ht="16.5" thickBot="1">
      <c r="A54" s="829" t="s">
        <v>701</v>
      </c>
      <c r="B54" s="811"/>
      <c r="C54" s="550"/>
      <c r="D54" s="858">
        <v>46935.44</v>
      </c>
    </row>
    <row r="55" spans="1:4" ht="15">
      <c r="A55" s="808" t="s">
        <v>362</v>
      </c>
      <c r="B55" s="570"/>
      <c r="C55" s="652"/>
      <c r="D55" s="835"/>
    </row>
    <row r="56" spans="1:4" ht="15">
      <c r="A56" s="359" t="s">
        <v>221</v>
      </c>
      <c r="B56" s="365" t="s">
        <v>478</v>
      </c>
      <c r="C56" s="615">
        <v>1</v>
      </c>
      <c r="D56" s="541">
        <v>1659.23</v>
      </c>
    </row>
    <row r="57" spans="1:4" ht="16.5" thickBot="1">
      <c r="A57" s="554" t="s">
        <v>695</v>
      </c>
      <c r="B57" s="365"/>
      <c r="C57" s="615">
        <v>1</v>
      </c>
      <c r="D57" s="541">
        <v>675.9</v>
      </c>
    </row>
    <row r="58" spans="1:4" ht="15.75" thickBot="1">
      <c r="A58" s="806" t="s">
        <v>701</v>
      </c>
      <c r="B58" s="811"/>
      <c r="C58" s="550"/>
      <c r="D58" s="892">
        <v>2335.13</v>
      </c>
    </row>
    <row r="59" spans="1:4" ht="15">
      <c r="A59" s="943" t="s">
        <v>386</v>
      </c>
      <c r="B59" s="763"/>
      <c r="C59" s="652"/>
      <c r="D59" s="877"/>
    </row>
    <row r="60" spans="1:4" ht="15">
      <c r="A60" s="383" t="s">
        <v>886</v>
      </c>
      <c r="B60" s="365" t="s">
        <v>478</v>
      </c>
      <c r="C60" s="615">
        <v>4</v>
      </c>
      <c r="D60" s="421">
        <v>1530.93</v>
      </c>
    </row>
    <row r="61" spans="1:4" ht="15">
      <c r="A61" s="383" t="s">
        <v>542</v>
      </c>
      <c r="B61" s="365" t="s">
        <v>372</v>
      </c>
      <c r="C61" s="615">
        <v>2</v>
      </c>
      <c r="D61" s="421">
        <v>908.36</v>
      </c>
    </row>
    <row r="62" spans="1:4" ht="15.75" thickBot="1">
      <c r="A62" s="843" t="s">
        <v>692</v>
      </c>
      <c r="B62" s="1065"/>
      <c r="C62" s="616">
        <v>6</v>
      </c>
      <c r="D62" s="439">
        <v>4111.91</v>
      </c>
    </row>
    <row r="63" spans="1:4" ht="15.75" thickBot="1">
      <c r="A63" s="806" t="s">
        <v>701</v>
      </c>
      <c r="B63" s="906"/>
      <c r="C63" s="550"/>
      <c r="D63" s="863">
        <v>6551.2</v>
      </c>
    </row>
    <row r="64" spans="1:4" ht="15.75" thickBot="1">
      <c r="A64" s="1053"/>
      <c r="B64" s="904"/>
      <c r="C64" s="836"/>
      <c r="D64" s="905"/>
    </row>
    <row r="65" spans="1:4" ht="15.75" thickBot="1">
      <c r="A65" s="837" t="s">
        <v>458</v>
      </c>
      <c r="B65" s="906"/>
      <c r="C65" s="803"/>
      <c r="D65" s="863">
        <v>119247.46</v>
      </c>
    </row>
    <row r="66" spans="1:4" ht="15">
      <c r="A66" s="890"/>
      <c r="B66" s="763"/>
      <c r="C66" s="441"/>
      <c r="D66" s="877"/>
    </row>
    <row r="67" spans="1:4" ht="15">
      <c r="A67" s="955" t="s">
        <v>453</v>
      </c>
      <c r="B67" s="757"/>
      <c r="C67" s="421"/>
      <c r="D67" s="428">
        <v>21293.76</v>
      </c>
    </row>
    <row r="68" spans="1:4" ht="15">
      <c r="A68" s="1050" t="s">
        <v>904</v>
      </c>
      <c r="B68" s="763"/>
      <c r="C68" s="652"/>
      <c r="D68" s="877">
        <v>31750.46</v>
      </c>
    </row>
    <row r="69" spans="1:4" ht="15">
      <c r="A69" s="943" t="s">
        <v>735</v>
      </c>
      <c r="B69" s="763"/>
      <c r="C69" s="652"/>
      <c r="D69" s="877">
        <v>121778.56</v>
      </c>
    </row>
    <row r="70" spans="1:4" ht="15.75" thickBot="1">
      <c r="A70" s="1063"/>
      <c r="B70" s="904"/>
      <c r="C70" s="661"/>
      <c r="D70" s="905"/>
    </row>
    <row r="71" spans="1:4" ht="15.75" thickBot="1">
      <c r="A71" s="806" t="s">
        <v>36</v>
      </c>
      <c r="B71" s="906"/>
      <c r="C71" s="550"/>
      <c r="D71" s="863">
        <v>659382.42</v>
      </c>
    </row>
    <row r="72" spans="1:4" ht="15">
      <c r="A72" s="1048"/>
      <c r="B72" s="570"/>
      <c r="C72" s="652"/>
      <c r="D72" s="441"/>
    </row>
    <row r="73" spans="1:4" ht="12.75">
      <c r="A73" s="1353"/>
      <c r="B73" s="1354"/>
      <c r="C73" s="374"/>
      <c r="D73" s="442"/>
    </row>
    <row r="74" spans="1:4" ht="12.75">
      <c r="A74" s="1355"/>
      <c r="B74" s="1356"/>
      <c r="C74" s="559"/>
      <c r="D74" s="559"/>
    </row>
    <row r="75" spans="1:4" ht="15">
      <c r="A75" s="1251" t="s">
        <v>568</v>
      </c>
      <c r="B75" s="1257"/>
      <c r="C75" s="467"/>
      <c r="D75" s="467">
        <v>0</v>
      </c>
    </row>
    <row r="76" spans="1:4" ht="15">
      <c r="A76" s="1332" t="s">
        <v>569</v>
      </c>
      <c r="B76" s="1332"/>
      <c r="C76" s="628"/>
      <c r="D76" s="608">
        <v>979598.39</v>
      </c>
    </row>
    <row r="77" spans="1:4" ht="15">
      <c r="A77" s="1332" t="s">
        <v>570</v>
      </c>
      <c r="B77" s="1332"/>
      <c r="C77" s="607"/>
      <c r="D77" s="608">
        <v>659382.42</v>
      </c>
    </row>
    <row r="78" spans="1:4" ht="15">
      <c r="A78" s="1333" t="s">
        <v>571</v>
      </c>
      <c r="B78" s="1333"/>
      <c r="C78" s="629"/>
      <c r="D78" s="629">
        <v>-320215.97</v>
      </c>
    </row>
    <row r="79" spans="1:4" ht="15">
      <c r="A79" s="1332" t="s">
        <v>179</v>
      </c>
      <c r="B79" s="1332"/>
      <c r="C79" s="1258"/>
      <c r="D79" s="630">
        <v>-320215.97</v>
      </c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 t="s">
        <v>180</v>
      </c>
      <c r="B83" s="538"/>
      <c r="C83" s="1259" t="s">
        <v>573</v>
      </c>
      <c r="D83" s="1260"/>
    </row>
    <row r="84" spans="1:4" ht="15">
      <c r="A84" s="538"/>
      <c r="B84" s="538"/>
      <c r="C84" s="1259"/>
      <c r="D84" s="1260"/>
    </row>
    <row r="86" ht="12.75">
      <c r="A86" s="735" t="s">
        <v>906</v>
      </c>
    </row>
    <row r="87" ht="12.75">
      <c r="A87" s="735" t="s">
        <v>358</v>
      </c>
    </row>
  </sheetData>
  <sheetProtection/>
  <mergeCells count="20">
    <mergeCell ref="A79:B79"/>
    <mergeCell ref="A73:B74"/>
    <mergeCell ref="A76:B76"/>
    <mergeCell ref="A77:B77"/>
    <mergeCell ref="A78:B78"/>
    <mergeCell ref="C17:D17"/>
    <mergeCell ref="A19:D19"/>
    <mergeCell ref="A20:D20"/>
    <mergeCell ref="C13:D13"/>
    <mergeCell ref="C14:D14"/>
    <mergeCell ref="C15:D15"/>
    <mergeCell ref="C16:D16"/>
    <mergeCell ref="C3:D3"/>
    <mergeCell ref="A4:B4"/>
    <mergeCell ref="A5:B5"/>
    <mergeCell ref="A6:B6"/>
    <mergeCell ref="A7:B7"/>
    <mergeCell ref="A9:B9"/>
    <mergeCell ref="A11:B12"/>
    <mergeCell ref="C11:D12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976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636.4+83850.18</f>
        <v>84486.57999999999</v>
      </c>
      <c r="D11" s="136">
        <v>11906.43</v>
      </c>
    </row>
    <row r="12" spans="1:4" ht="15.75" thickBot="1">
      <c r="A12" s="1341" t="s">
        <v>646</v>
      </c>
      <c r="B12" s="1342"/>
      <c r="C12" s="137">
        <f>2644.56+636297.64</f>
        <v>638942.2000000001</v>
      </c>
      <c r="D12" s="136">
        <v>33728.19</v>
      </c>
    </row>
    <row r="13" spans="1:4" ht="15.75" thickBot="1">
      <c r="A13" s="1341" t="s">
        <v>647</v>
      </c>
      <c r="B13" s="1342"/>
      <c r="C13" s="135">
        <f>3011.32+607759.33</f>
        <v>610770.6499999999</v>
      </c>
      <c r="D13" s="136">
        <v>45634.62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155189.76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112658.13000000012</v>
      </c>
      <c r="D17" s="136">
        <f>D11+D12-D13</f>
        <v>0</v>
      </c>
    </row>
    <row r="18" spans="1:4" ht="15.75" thickBot="1">
      <c r="A18" s="1341" t="s">
        <v>806</v>
      </c>
      <c r="B18" s="1342"/>
      <c r="C18" s="170">
        <f>D24+D47</f>
        <v>821378.71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D25+D26+D27+D28+D29+D30</f>
        <v>575377.65</v>
      </c>
    </row>
    <row r="25" spans="1:4" ht="26.25" thickBot="1">
      <c r="A25" s="166" t="s">
        <v>662</v>
      </c>
      <c r="B25" s="64" t="s">
        <v>652</v>
      </c>
      <c r="C25" s="45"/>
      <c r="D25" s="171">
        <v>348716.88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102040.1</v>
      </c>
    </row>
    <row r="27" spans="1:4" ht="25.5" thickBot="1">
      <c r="A27" s="133" t="s">
        <v>658</v>
      </c>
      <c r="B27" s="168" t="s">
        <v>657</v>
      </c>
      <c r="C27" s="145"/>
      <c r="D27" s="171">
        <v>89933.83</v>
      </c>
    </row>
    <row r="28" spans="1:4" ht="15.75" thickBot="1">
      <c r="A28" s="133" t="s">
        <v>799</v>
      </c>
      <c r="B28" s="181" t="s">
        <v>661</v>
      </c>
      <c r="C28" s="182"/>
      <c r="D28" s="183">
        <v>4008.18</v>
      </c>
    </row>
    <row r="29" spans="1:4" ht="15.75" thickBot="1">
      <c r="A29" s="133" t="s">
        <v>879</v>
      </c>
      <c r="B29" s="181" t="s">
        <v>661</v>
      </c>
      <c r="C29" s="182"/>
      <c r="D29" s="183">
        <v>1630.88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29047.78</v>
      </c>
    </row>
    <row r="31" spans="1:4" ht="15.75" thickBot="1">
      <c r="A31" s="148" t="s">
        <v>760</v>
      </c>
      <c r="B31" s="149"/>
      <c r="C31" s="139"/>
      <c r="D31" s="175">
        <f>D33+D34+D35+D36+D38+D39+D40+D42+D43+D44+D45</f>
        <v>246001.06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f>204.85+10437.04</f>
        <v>10641.890000000001</v>
      </c>
    </row>
    <row r="34" spans="1:4" ht="14.25">
      <c r="A34" s="188" t="s">
        <v>928</v>
      </c>
      <c r="B34" s="74" t="s">
        <v>661</v>
      </c>
      <c r="C34" s="153"/>
      <c r="D34" s="177">
        <f>1037.83+1393.57+16457</f>
        <v>18888.4</v>
      </c>
    </row>
    <row r="35" spans="1:4" ht="14.25">
      <c r="A35" s="188" t="s">
        <v>930</v>
      </c>
      <c r="B35" s="74" t="s">
        <v>661</v>
      </c>
      <c r="C35" s="153"/>
      <c r="D35" s="177">
        <f>1039.04+17122.96</f>
        <v>18162</v>
      </c>
    </row>
    <row r="36" spans="1:4" ht="14.25">
      <c r="A36" s="188" t="s">
        <v>997</v>
      </c>
      <c r="B36" s="74" t="s">
        <v>661</v>
      </c>
      <c r="C36" s="153"/>
      <c r="D36" s="177">
        <f>11869.04+25537.96</f>
        <v>37407</v>
      </c>
    </row>
    <row r="37" spans="1:4" ht="14.25">
      <c r="A37" s="151" t="s">
        <v>676</v>
      </c>
      <c r="B37" s="116"/>
      <c r="C37" s="153"/>
      <c r="D37" s="177"/>
    </row>
    <row r="38" spans="1:4" ht="14.25">
      <c r="A38" s="132" t="s">
        <v>883</v>
      </c>
      <c r="B38" s="74" t="s">
        <v>661</v>
      </c>
      <c r="C38" s="153"/>
      <c r="D38" s="179">
        <f>47548.34+23818.37</f>
        <v>71366.70999999999</v>
      </c>
    </row>
    <row r="39" spans="1:4" ht="14.25">
      <c r="A39" s="157" t="s">
        <v>880</v>
      </c>
      <c r="B39" s="74" t="s">
        <v>661</v>
      </c>
      <c r="C39" s="153"/>
      <c r="D39" s="179">
        <f>17958.35</f>
        <v>17958.35</v>
      </c>
    </row>
    <row r="40" spans="1:4" ht="14.25">
      <c r="A40" s="157" t="s">
        <v>925</v>
      </c>
      <c r="B40" s="74" t="s">
        <v>661</v>
      </c>
      <c r="C40" s="153"/>
      <c r="D40" s="180">
        <f>39846.23+3908.81</f>
        <v>43755.04</v>
      </c>
    </row>
    <row r="41" spans="1:4" ht="15">
      <c r="A41" s="151" t="s">
        <v>682</v>
      </c>
      <c r="B41" s="118"/>
      <c r="C41" s="153"/>
      <c r="D41" s="191"/>
    </row>
    <row r="42" spans="1:4" ht="14.25">
      <c r="A42" s="159" t="s">
        <v>884</v>
      </c>
      <c r="B42" s="74" t="s">
        <v>661</v>
      </c>
      <c r="C42" s="153"/>
      <c r="D42" s="192">
        <v>14834.15</v>
      </c>
    </row>
    <row r="43" spans="1:4" ht="14.25">
      <c r="A43" s="159" t="s">
        <v>886</v>
      </c>
      <c r="B43" s="74" t="s">
        <v>661</v>
      </c>
      <c r="C43" s="153"/>
      <c r="D43" s="192">
        <v>612.7</v>
      </c>
    </row>
    <row r="44" spans="1:4" ht="14.25">
      <c r="A44" s="159" t="s">
        <v>888</v>
      </c>
      <c r="B44" s="74" t="s">
        <v>661</v>
      </c>
      <c r="C44" s="153"/>
      <c r="D44" s="192">
        <f>703.24+371.51+8562.31+797.68</f>
        <v>10434.74</v>
      </c>
    </row>
    <row r="45" spans="1:4" ht="14.25">
      <c r="A45" s="159" t="s">
        <v>929</v>
      </c>
      <c r="B45" s="74" t="s">
        <v>661</v>
      </c>
      <c r="C45" s="152"/>
      <c r="D45" s="192">
        <v>1940.08</v>
      </c>
    </row>
    <row r="46" spans="1:4" ht="14.25" hidden="1">
      <c r="A46" s="157"/>
      <c r="B46" s="153"/>
      <c r="C46" s="152"/>
      <c r="D46" s="192"/>
    </row>
    <row r="47" spans="1:4" ht="15" hidden="1">
      <c r="A47" s="162" t="s">
        <v>821</v>
      </c>
      <c r="B47" s="163"/>
      <c r="C47" s="164"/>
      <c r="D47" s="206">
        <f>SUM(D33:D46)</f>
        <v>246001.06</v>
      </c>
    </row>
    <row r="48" spans="1:4" ht="15">
      <c r="A48" s="71"/>
      <c r="B48" s="11"/>
      <c r="C48" s="11"/>
      <c r="D48" s="207"/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3" ht="15.75">
      <c r="A52" s="187" t="s">
        <v>921</v>
      </c>
      <c r="B52" s="187"/>
      <c r="C52" s="187" t="s">
        <v>889</v>
      </c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9" ht="15.75">
      <c r="A59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99CC"/>
  </sheetPr>
  <dimension ref="A3:G90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10.8515625" style="0" hidden="1" customWidth="1"/>
    <col min="7" max="7" width="9.57421875" style="0" bestFit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4.25" customHeight="1">
      <c r="A8" s="26"/>
      <c r="B8" s="26"/>
      <c r="C8"/>
    </row>
    <row r="9" spans="1:4" ht="15">
      <c r="A9" s="1343" t="s">
        <v>227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201315.05</v>
      </c>
      <c r="D13" s="1309"/>
    </row>
    <row r="14" spans="1:4" ht="14.25">
      <c r="A14" s="471" t="s">
        <v>486</v>
      </c>
      <c r="B14" s="473"/>
      <c r="C14" s="1310">
        <v>655274.77</v>
      </c>
      <c r="D14" s="1311"/>
    </row>
    <row r="15" spans="1:4" ht="14.25">
      <c r="A15" s="470" t="s">
        <v>647</v>
      </c>
      <c r="B15" s="474"/>
      <c r="C15" s="1312">
        <v>680389.38</v>
      </c>
      <c r="D15" s="1313"/>
    </row>
    <row r="16" spans="1:7" ht="15">
      <c r="A16" s="475" t="s">
        <v>348</v>
      </c>
      <c r="B16" s="476"/>
      <c r="C16" s="1314">
        <f>C13+C14-C15</f>
        <v>176200.44000000006</v>
      </c>
      <c r="D16" s="1372"/>
      <c r="G16" s="111"/>
    </row>
    <row r="17" spans="1:4" ht="14.25">
      <c r="A17" s="470" t="s">
        <v>37</v>
      </c>
      <c r="B17" s="527"/>
      <c r="C17" s="1373">
        <v>767813.09</v>
      </c>
      <c r="D17" s="1374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481" t="s">
        <v>477</v>
      </c>
      <c r="B22" s="482" t="s">
        <v>667</v>
      </c>
      <c r="C22" s="409" t="s">
        <v>673</v>
      </c>
      <c r="D22" s="453" t="s">
        <v>793</v>
      </c>
    </row>
    <row r="23" spans="1:4" ht="16.5" thickBot="1">
      <c r="A23" s="477" t="s">
        <v>913</v>
      </c>
      <c r="B23" s="483"/>
      <c r="C23" s="456"/>
      <c r="D23" s="664"/>
    </row>
    <row r="24" spans="1:4" ht="26.25">
      <c r="A24" s="546" t="s">
        <v>105</v>
      </c>
      <c r="B24" s="394" t="s">
        <v>652</v>
      </c>
      <c r="C24" s="395"/>
      <c r="D24" s="396">
        <v>151894.14</v>
      </c>
    </row>
    <row r="25" spans="1:4" ht="15">
      <c r="A25" s="492" t="s">
        <v>654</v>
      </c>
      <c r="B25" s="398" t="s">
        <v>656</v>
      </c>
      <c r="C25" s="392" t="s">
        <v>801</v>
      </c>
      <c r="D25" s="393">
        <v>83133.33</v>
      </c>
    </row>
    <row r="26" spans="1:4" ht="24.75">
      <c r="A26" s="492" t="s">
        <v>14</v>
      </c>
      <c r="B26" s="397" t="s">
        <v>657</v>
      </c>
      <c r="C26" s="404"/>
      <c r="D26" s="396">
        <v>103927.43</v>
      </c>
    </row>
    <row r="27" spans="1:4" ht="15">
      <c r="A27" s="492" t="s">
        <v>210</v>
      </c>
      <c r="B27" s="399"/>
      <c r="C27" s="400"/>
      <c r="D27" s="393">
        <v>18031.71</v>
      </c>
    </row>
    <row r="28" spans="1:4" ht="15">
      <c r="A28" s="492" t="s">
        <v>909</v>
      </c>
      <c r="B28" s="397" t="s">
        <v>661</v>
      </c>
      <c r="C28" s="404"/>
      <c r="D28" s="396">
        <v>1380.6</v>
      </c>
    </row>
    <row r="29" spans="1:4" ht="15.75" thickBot="1">
      <c r="A29" s="413" t="s">
        <v>799</v>
      </c>
      <c r="B29" s="609"/>
      <c r="C29" s="617"/>
      <c r="D29" s="618">
        <v>60885.11</v>
      </c>
    </row>
    <row r="30" spans="1:4" ht="15.75" thickBot="1">
      <c r="A30" s="805" t="s">
        <v>701</v>
      </c>
      <c r="B30" s="980"/>
      <c r="C30" s="796"/>
      <c r="D30" s="940">
        <v>419252.32</v>
      </c>
    </row>
    <row r="31" spans="1:4" ht="15.75" thickBot="1">
      <c r="A31" s="487" t="s">
        <v>914</v>
      </c>
      <c r="B31" s="461"/>
      <c r="C31" s="462"/>
      <c r="D31" s="463"/>
    </row>
    <row r="32" spans="1:4" ht="24">
      <c r="A32" s="943" t="s">
        <v>204</v>
      </c>
      <c r="B32" s="433" t="s">
        <v>920</v>
      </c>
      <c r="C32" s="443" t="s">
        <v>673</v>
      </c>
      <c r="D32" s="444" t="s">
        <v>793</v>
      </c>
    </row>
    <row r="33" spans="1:4" ht="15">
      <c r="A33" s="383" t="s">
        <v>60</v>
      </c>
      <c r="B33" s="382" t="s">
        <v>817</v>
      </c>
      <c r="C33" s="534">
        <v>1</v>
      </c>
      <c r="D33" s="598">
        <v>3840.98</v>
      </c>
    </row>
    <row r="34" spans="1:4" ht="16.5" thickBot="1">
      <c r="A34" s="942" t="s">
        <v>203</v>
      </c>
      <c r="B34" s="758"/>
      <c r="C34" s="616">
        <v>1</v>
      </c>
      <c r="D34" s="541">
        <v>17719.63</v>
      </c>
    </row>
    <row r="35" spans="1:4" ht="15.75" thickBot="1">
      <c r="A35" s="805" t="s">
        <v>701</v>
      </c>
      <c r="B35" s="817"/>
      <c r="C35" s="1020"/>
      <c r="D35" s="940">
        <v>21560.61</v>
      </c>
    </row>
    <row r="36" spans="1:4" ht="15">
      <c r="A36" s="943" t="s">
        <v>457</v>
      </c>
      <c r="B36" s="824"/>
      <c r="C36" s="534"/>
      <c r="D36" s="441"/>
    </row>
    <row r="37" spans="1:4" ht="15.75">
      <c r="A37" s="554" t="s">
        <v>378</v>
      </c>
      <c r="B37" s="365" t="s">
        <v>478</v>
      </c>
      <c r="C37" s="489">
        <v>1</v>
      </c>
      <c r="D37" s="532">
        <v>26603</v>
      </c>
    </row>
    <row r="38" spans="1:4" ht="15.75">
      <c r="A38" s="554" t="s">
        <v>205</v>
      </c>
      <c r="B38" s="366"/>
      <c r="C38" s="480">
        <v>3</v>
      </c>
      <c r="D38" s="421">
        <v>17951.73</v>
      </c>
    </row>
    <row r="39" spans="1:4" ht="15.75">
      <c r="A39" s="554" t="s">
        <v>208</v>
      </c>
      <c r="B39" s="1072" t="s">
        <v>478</v>
      </c>
      <c r="C39" s="1069">
        <v>1</v>
      </c>
      <c r="D39" s="439">
        <v>140.94</v>
      </c>
    </row>
    <row r="40" spans="1:4" ht="15.75">
      <c r="A40" s="488" t="s">
        <v>239</v>
      </c>
      <c r="B40" s="758" t="s">
        <v>478</v>
      </c>
      <c r="C40" s="1069">
        <v>2</v>
      </c>
      <c r="D40" s="439">
        <v>2400.92</v>
      </c>
    </row>
    <row r="41" spans="1:4" ht="15.75">
      <c r="A41" s="488" t="s">
        <v>393</v>
      </c>
      <c r="B41" s="758"/>
      <c r="C41" s="1069">
        <v>8</v>
      </c>
      <c r="D41" s="439">
        <v>5976.23</v>
      </c>
    </row>
    <row r="42" spans="1:4" ht="16.5" thickBot="1">
      <c r="A42" s="942" t="s">
        <v>206</v>
      </c>
      <c r="B42" s="758" t="s">
        <v>328</v>
      </c>
      <c r="C42" s="1068">
        <v>2</v>
      </c>
      <c r="D42" s="439">
        <v>1124</v>
      </c>
    </row>
    <row r="43" spans="1:4" ht="16.5" thickBot="1">
      <c r="A43" s="829" t="s">
        <v>701</v>
      </c>
      <c r="B43" s="825"/>
      <c r="C43" s="1071"/>
      <c r="D43" s="863">
        <v>54196.82</v>
      </c>
    </row>
    <row r="44" spans="1:4" ht="15.75">
      <c r="A44" s="876" t="s">
        <v>192</v>
      </c>
      <c r="B44" s="570"/>
      <c r="C44" s="385"/>
      <c r="D44" s="598"/>
    </row>
    <row r="45" spans="1:4" ht="15.75">
      <c r="A45" s="488" t="s">
        <v>1020</v>
      </c>
      <c r="B45" s="365" t="s">
        <v>478</v>
      </c>
      <c r="C45" s="363">
        <v>1</v>
      </c>
      <c r="D45" s="532">
        <v>2999.67</v>
      </c>
    </row>
    <row r="46" spans="1:4" ht="15.75">
      <c r="A46" s="488" t="s">
        <v>882</v>
      </c>
      <c r="B46" s="365"/>
      <c r="C46" s="363">
        <v>5</v>
      </c>
      <c r="D46" s="532">
        <v>7142.39</v>
      </c>
    </row>
    <row r="47" spans="1:4" ht="15.75">
      <c r="A47" s="942" t="s">
        <v>479</v>
      </c>
      <c r="B47" s="834" t="s">
        <v>211</v>
      </c>
      <c r="C47" s="379">
        <v>7</v>
      </c>
      <c r="D47" s="835">
        <v>10462.96</v>
      </c>
    </row>
    <row r="48" spans="1:4" ht="16.5" thickBot="1">
      <c r="A48" s="833" t="s">
        <v>207</v>
      </c>
      <c r="B48" s="758"/>
      <c r="C48" s="1069">
        <v>1</v>
      </c>
      <c r="D48" s="541">
        <v>22996</v>
      </c>
    </row>
    <row r="49" spans="1:4" ht="16.5" thickBot="1">
      <c r="A49" s="829" t="s">
        <v>701</v>
      </c>
      <c r="B49" s="811"/>
      <c r="C49" s="1070"/>
      <c r="D49" s="858">
        <v>43601.02</v>
      </c>
    </row>
    <row r="50" spans="1:4" ht="15">
      <c r="A50" s="808" t="s">
        <v>451</v>
      </c>
      <c r="B50" s="570"/>
      <c r="C50" s="652"/>
      <c r="D50" s="836"/>
    </row>
    <row r="51" spans="1:4" ht="15.75">
      <c r="A51" s="554" t="s">
        <v>750</v>
      </c>
      <c r="B51" s="365"/>
      <c r="C51" s="380">
        <v>1</v>
      </c>
      <c r="D51" s="541">
        <v>12706</v>
      </c>
    </row>
    <row r="52" spans="1:4" ht="15.75" thickBot="1">
      <c r="A52" s="807" t="s">
        <v>197</v>
      </c>
      <c r="B52" s="758"/>
      <c r="C52" s="1068">
        <v>1</v>
      </c>
      <c r="D52" s="541">
        <v>650.66</v>
      </c>
    </row>
    <row r="53" spans="1:4" ht="16.5" thickBot="1">
      <c r="A53" s="829" t="s">
        <v>701</v>
      </c>
      <c r="B53" s="811"/>
      <c r="C53" s="462"/>
      <c r="D53" s="863">
        <v>13356.66</v>
      </c>
    </row>
    <row r="54" spans="1:4" ht="15.75">
      <c r="A54" s="876" t="s">
        <v>362</v>
      </c>
      <c r="B54" s="570"/>
      <c r="C54" s="534"/>
      <c r="D54" s="835"/>
    </row>
    <row r="55" spans="1:4" ht="15.75">
      <c r="A55" s="547" t="s">
        <v>318</v>
      </c>
      <c r="B55" s="570" t="s">
        <v>211</v>
      </c>
      <c r="C55" s="534">
        <v>2</v>
      </c>
      <c r="D55" s="532">
        <v>8290.79</v>
      </c>
    </row>
    <row r="56" spans="1:4" ht="15.75">
      <c r="A56" s="547" t="s">
        <v>221</v>
      </c>
      <c r="B56" s="570" t="s">
        <v>478</v>
      </c>
      <c r="C56" s="359">
        <v>1</v>
      </c>
      <c r="D56" s="532">
        <v>1578.15</v>
      </c>
    </row>
    <row r="57" spans="1:4" ht="15.75">
      <c r="A57" s="547" t="s">
        <v>490</v>
      </c>
      <c r="B57" s="570"/>
      <c r="C57" s="534"/>
      <c r="D57" s="835">
        <v>271.66</v>
      </c>
    </row>
    <row r="58" spans="1:4" ht="15.75" thickBot="1">
      <c r="A58" s="519" t="s">
        <v>383</v>
      </c>
      <c r="B58" s="758"/>
      <c r="C58" s="1068">
        <v>1</v>
      </c>
      <c r="D58" s="881">
        <v>691.52</v>
      </c>
    </row>
    <row r="59" spans="1:4" ht="15.75" thickBot="1">
      <c r="A59" s="806" t="s">
        <v>701</v>
      </c>
      <c r="B59" s="811"/>
      <c r="C59" s="462"/>
      <c r="D59" s="892">
        <v>10832.12</v>
      </c>
    </row>
    <row r="60" spans="1:4" ht="14.25">
      <c r="A60" s="513" t="s">
        <v>386</v>
      </c>
      <c r="B60" s="763"/>
      <c r="C60" s="534"/>
      <c r="D60" s="877"/>
    </row>
    <row r="61" spans="1:4" ht="15">
      <c r="A61" s="387" t="s">
        <v>542</v>
      </c>
      <c r="B61" s="365" t="s">
        <v>52</v>
      </c>
      <c r="C61" s="679">
        <v>1</v>
      </c>
      <c r="D61" s="532">
        <v>60.77</v>
      </c>
    </row>
    <row r="62" spans="1:4" ht="15">
      <c r="A62" s="548" t="s">
        <v>886</v>
      </c>
      <c r="B62" s="365" t="s">
        <v>478</v>
      </c>
      <c r="C62" s="716">
        <v>1</v>
      </c>
      <c r="D62" s="532">
        <v>440.79</v>
      </c>
    </row>
    <row r="63" spans="1:4" ht="15">
      <c r="A63" s="548" t="s">
        <v>692</v>
      </c>
      <c r="B63" s="365"/>
      <c r="C63" s="716">
        <v>4</v>
      </c>
      <c r="D63" s="532">
        <v>2834.96</v>
      </c>
    </row>
    <row r="64" spans="1:4" ht="15.75" thickBot="1">
      <c r="A64" s="574" t="s">
        <v>209</v>
      </c>
      <c r="B64" s="758"/>
      <c r="C64" s="1073">
        <v>1</v>
      </c>
      <c r="D64" s="541">
        <v>160</v>
      </c>
    </row>
    <row r="65" spans="1:4" ht="15.75" thickBot="1">
      <c r="A65" s="806" t="s">
        <v>701</v>
      </c>
      <c r="B65" s="811"/>
      <c r="C65" s="883"/>
      <c r="D65" s="858">
        <v>3496.52</v>
      </c>
    </row>
    <row r="66" spans="1:4" ht="15.75" thickBot="1">
      <c r="A66" s="1053"/>
      <c r="B66" s="834"/>
      <c r="C66" s="1074"/>
      <c r="D66" s="835"/>
    </row>
    <row r="67" spans="1:4" ht="15.75" thickBot="1">
      <c r="A67" s="806" t="s">
        <v>458</v>
      </c>
      <c r="B67" s="811"/>
      <c r="C67" s="812"/>
      <c r="D67" s="858">
        <v>147043.75</v>
      </c>
    </row>
    <row r="68" spans="1:4" ht="15.75" thickBot="1">
      <c r="A68" s="1053"/>
      <c r="B68" s="834"/>
      <c r="C68" s="1074"/>
      <c r="D68" s="835"/>
    </row>
    <row r="69" spans="1:4" ht="15">
      <c r="A69" s="952" t="s">
        <v>453</v>
      </c>
      <c r="B69" s="849"/>
      <c r="C69" s="1075"/>
      <c r="D69" s="1059">
        <v>30783.7</v>
      </c>
    </row>
    <row r="70" spans="1:4" ht="15">
      <c r="A70" s="955" t="s">
        <v>904</v>
      </c>
      <c r="B70" s="365"/>
      <c r="C70" s="423"/>
      <c r="D70" s="869">
        <v>28929.15</v>
      </c>
    </row>
    <row r="71" spans="1:4" ht="15">
      <c r="A71" s="955" t="s">
        <v>735</v>
      </c>
      <c r="B71" s="365"/>
      <c r="C71" s="423"/>
      <c r="D71" s="869">
        <v>141804.17</v>
      </c>
    </row>
    <row r="72" spans="1:4" ht="15.75" thickBot="1">
      <c r="A72" s="937"/>
      <c r="B72" s="758"/>
      <c r="C72" s="809"/>
      <c r="D72" s="541"/>
    </row>
    <row r="73" spans="1:4" ht="15.75" thickBot="1">
      <c r="A73" s="806" t="s">
        <v>918</v>
      </c>
      <c r="B73" s="811"/>
      <c r="C73" s="1013"/>
      <c r="D73" s="863">
        <v>767813.09</v>
      </c>
    </row>
    <row r="74" spans="1:4" ht="15">
      <c r="A74" s="196"/>
      <c r="B74" s="196"/>
      <c r="C74" s="196"/>
      <c r="D74" s="197"/>
    </row>
    <row r="75" spans="1:4" ht="12.75">
      <c r="A75" s="1353"/>
      <c r="B75" s="1354"/>
      <c r="C75" s="374"/>
      <c r="D75" s="442"/>
    </row>
    <row r="76" spans="1:4" ht="12.75">
      <c r="A76" s="1355"/>
      <c r="B76" s="1356"/>
      <c r="C76" s="559"/>
      <c r="D76" s="559"/>
    </row>
    <row r="77" spans="1:4" ht="15">
      <c r="A77" s="1251" t="s">
        <v>568</v>
      </c>
      <c r="B77" s="1257"/>
      <c r="C77" s="467"/>
      <c r="D77" s="467">
        <v>0</v>
      </c>
    </row>
    <row r="78" spans="1:4" ht="15">
      <c r="A78" s="1332" t="s">
        <v>569</v>
      </c>
      <c r="B78" s="1332"/>
      <c r="C78" s="628"/>
      <c r="D78" s="608">
        <v>680389.38</v>
      </c>
    </row>
    <row r="79" spans="1:4" ht="15">
      <c r="A79" s="1332" t="s">
        <v>570</v>
      </c>
      <c r="B79" s="1332"/>
      <c r="C79" s="607"/>
      <c r="D79" s="608">
        <v>767813.09</v>
      </c>
    </row>
    <row r="80" spans="1:4" ht="15">
      <c r="A80" s="1333" t="s">
        <v>571</v>
      </c>
      <c r="B80" s="1333"/>
      <c r="C80" s="629"/>
      <c r="D80" s="629">
        <v>87423.71</v>
      </c>
    </row>
    <row r="81" spans="1:4" ht="15">
      <c r="A81" s="1332" t="s">
        <v>179</v>
      </c>
      <c r="B81" s="1332"/>
      <c r="C81" s="1258"/>
      <c r="D81" s="630">
        <v>87423.71</v>
      </c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/>
      <c r="B84" s="538"/>
      <c r="C84" s="1259"/>
      <c r="D84" s="1260"/>
    </row>
    <row r="85" spans="1:4" ht="15">
      <c r="A85" s="538" t="s">
        <v>842</v>
      </c>
      <c r="B85" s="538"/>
      <c r="C85" s="1259" t="s">
        <v>573</v>
      </c>
      <c r="D85" s="1260"/>
    </row>
    <row r="86" spans="1:4" ht="15">
      <c r="A86" s="538"/>
      <c r="B86" s="538"/>
      <c r="C86" s="1259"/>
      <c r="D86" s="1260"/>
    </row>
    <row r="88" ht="12.75">
      <c r="A88" s="735" t="s">
        <v>357</v>
      </c>
    </row>
    <row r="89" ht="12.75">
      <c r="A89" s="735" t="s">
        <v>906</v>
      </c>
    </row>
    <row r="90" ht="12.75">
      <c r="A90" s="735" t="s">
        <v>358</v>
      </c>
    </row>
  </sheetData>
  <sheetProtection/>
  <mergeCells count="19">
    <mergeCell ref="A79:B79"/>
    <mergeCell ref="A80:B80"/>
    <mergeCell ref="A81:B81"/>
    <mergeCell ref="A19:D19"/>
    <mergeCell ref="A20:D20"/>
    <mergeCell ref="A75:B76"/>
    <mergeCell ref="A78:B78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3:N92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7" max="7" width="9.57421875" style="0" bestFit="1" customWidth="1"/>
    <col min="9" max="9" width="60.00390625" style="0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487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38.2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.75" customHeight="1">
      <c r="A13" s="372" t="s">
        <v>347</v>
      </c>
      <c r="B13" s="472"/>
      <c r="C13" s="1370">
        <v>175889.02</v>
      </c>
      <c r="D13" s="1371"/>
    </row>
    <row r="14" spans="1:4" ht="15" customHeight="1">
      <c r="A14" s="471" t="s">
        <v>486</v>
      </c>
      <c r="B14" s="473"/>
      <c r="C14" s="1336">
        <v>1075096.96</v>
      </c>
      <c r="D14" s="1337"/>
    </row>
    <row r="15" spans="1:8" ht="15.75" customHeight="1">
      <c r="A15" s="470" t="s">
        <v>647</v>
      </c>
      <c r="B15" s="474"/>
      <c r="C15" s="1338">
        <v>1064804.47</v>
      </c>
      <c r="D15" s="1339"/>
      <c r="H15" t="s">
        <v>465</v>
      </c>
    </row>
    <row r="16" spans="1:4" ht="15.75" customHeight="1">
      <c r="A16" s="475" t="s">
        <v>348</v>
      </c>
      <c r="B16" s="476"/>
      <c r="C16" s="1327">
        <v>186181.51</v>
      </c>
      <c r="D16" s="1328"/>
    </row>
    <row r="17" spans="1:4" ht="15.75" customHeight="1">
      <c r="A17" s="470" t="s">
        <v>540</v>
      </c>
      <c r="B17" s="474"/>
      <c r="C17" s="1329">
        <v>1006938.74</v>
      </c>
      <c r="D17" s="1330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660" t="s">
        <v>477</v>
      </c>
      <c r="B22" s="482" t="s">
        <v>667</v>
      </c>
      <c r="C22" s="409" t="s">
        <v>673</v>
      </c>
      <c r="D22" s="453" t="s">
        <v>793</v>
      </c>
    </row>
    <row r="23" spans="1:4" ht="16.5" thickBot="1">
      <c r="A23" s="477" t="s">
        <v>913</v>
      </c>
      <c r="B23" s="483"/>
      <c r="C23" s="456"/>
      <c r="D23" s="664"/>
    </row>
    <row r="24" spans="1:4" ht="26.25">
      <c r="A24" s="546" t="s">
        <v>105</v>
      </c>
      <c r="B24" s="394" t="s">
        <v>652</v>
      </c>
      <c r="C24" s="1278"/>
      <c r="D24" s="631">
        <v>191336.57</v>
      </c>
    </row>
    <row r="25" spans="1:7" ht="15">
      <c r="A25" s="492" t="s">
        <v>910</v>
      </c>
      <c r="B25" s="399" t="s">
        <v>656</v>
      </c>
      <c r="C25" s="508"/>
      <c r="D25" s="396">
        <v>112100.81</v>
      </c>
      <c r="G25" s="111"/>
    </row>
    <row r="26" spans="1:4" ht="24.75">
      <c r="A26" s="492" t="s">
        <v>911</v>
      </c>
      <c r="B26" s="399" t="s">
        <v>464</v>
      </c>
      <c r="C26" s="400"/>
      <c r="D26" s="393">
        <v>140140.52</v>
      </c>
    </row>
    <row r="27" spans="1:4" ht="15.75" thickBot="1">
      <c r="A27" s="413" t="s">
        <v>17</v>
      </c>
      <c r="B27" s="397"/>
      <c r="C27" s="404"/>
      <c r="D27" s="396">
        <v>19385.83</v>
      </c>
    </row>
    <row r="28" spans="1:4" ht="15.75" thickBot="1">
      <c r="A28" s="805" t="s">
        <v>701</v>
      </c>
      <c r="B28" s="855"/>
      <c r="C28" s="856"/>
      <c r="D28" s="857">
        <v>463693.13</v>
      </c>
    </row>
    <row r="29" spans="1:4" ht="15.75" thickBot="1">
      <c r="A29" s="487" t="s">
        <v>914</v>
      </c>
      <c r="B29" s="461"/>
      <c r="C29" s="462"/>
      <c r="D29" s="463"/>
    </row>
    <row r="30" spans="1:10" ht="14.25">
      <c r="A30" s="513" t="s">
        <v>20</v>
      </c>
      <c r="B30" s="433" t="s">
        <v>920</v>
      </c>
      <c r="C30" s="443" t="s">
        <v>673</v>
      </c>
      <c r="D30" s="444"/>
      <c r="I30" s="416"/>
      <c r="J30" s="416"/>
    </row>
    <row r="31" spans="1:14" ht="30.75">
      <c r="A31" s="852" t="s">
        <v>697</v>
      </c>
      <c r="B31" s="365" t="s">
        <v>478</v>
      </c>
      <c r="C31" s="615">
        <v>1</v>
      </c>
      <c r="D31" s="421">
        <v>13018.8</v>
      </c>
      <c r="I31" s="416"/>
      <c r="J31" s="416"/>
      <c r="K31" s="416"/>
      <c r="L31" s="416"/>
      <c r="M31" s="416"/>
      <c r="N31" s="416"/>
    </row>
    <row r="32" spans="1:14" ht="15.75">
      <c r="A32" s="547" t="s">
        <v>912</v>
      </c>
      <c r="B32" s="365"/>
      <c r="C32" s="615"/>
      <c r="D32" s="532">
        <v>33937.55</v>
      </c>
      <c r="I32" s="416"/>
      <c r="J32" s="416"/>
      <c r="K32" s="416"/>
      <c r="L32" s="416"/>
      <c r="M32" s="416"/>
      <c r="N32" s="416"/>
    </row>
    <row r="33" spans="1:14" ht="15.75">
      <c r="A33" s="554" t="s">
        <v>241</v>
      </c>
      <c r="B33" s="764" t="s">
        <v>229</v>
      </c>
      <c r="C33" s="615"/>
      <c r="D33" s="421">
        <v>88024.87</v>
      </c>
      <c r="I33" s="416"/>
      <c r="J33" s="416"/>
      <c r="K33" s="416"/>
      <c r="L33" s="416"/>
      <c r="M33" s="416"/>
      <c r="N33" s="416"/>
    </row>
    <row r="34" spans="1:14" ht="15.75" thickBot="1">
      <c r="A34" s="359" t="s">
        <v>60</v>
      </c>
      <c r="B34" s="365" t="s">
        <v>817</v>
      </c>
      <c r="C34" s="422">
        <v>1</v>
      </c>
      <c r="D34" s="532">
        <v>2107.33</v>
      </c>
      <c r="I34" s="416"/>
      <c r="J34" s="416"/>
      <c r="K34" s="416"/>
      <c r="L34" s="416"/>
      <c r="M34" s="416"/>
      <c r="N34" s="416"/>
    </row>
    <row r="35" spans="1:14" ht="15.75" thickBot="1">
      <c r="A35" s="823" t="s">
        <v>901</v>
      </c>
      <c r="B35" s="825"/>
      <c r="C35" s="803"/>
      <c r="D35" s="858">
        <v>137088.55</v>
      </c>
      <c r="I35" s="416"/>
      <c r="J35" s="416"/>
      <c r="K35" s="416"/>
      <c r="L35" s="416"/>
      <c r="M35" s="416"/>
      <c r="N35" s="416"/>
    </row>
    <row r="36" spans="1:14" ht="15">
      <c r="A36" s="513" t="s">
        <v>21</v>
      </c>
      <c r="B36" s="824"/>
      <c r="C36" s="652"/>
      <c r="D36" s="441"/>
      <c r="I36" s="416"/>
      <c r="J36" s="416"/>
      <c r="K36" s="416"/>
      <c r="L36" s="416"/>
      <c r="M36" s="416"/>
      <c r="N36" s="416"/>
    </row>
    <row r="37" spans="1:14" ht="15">
      <c r="A37" s="359" t="s">
        <v>691</v>
      </c>
      <c r="B37" s="366" t="s">
        <v>478</v>
      </c>
      <c r="C37" s="421">
        <v>4</v>
      </c>
      <c r="D37" s="421">
        <v>1958.53</v>
      </c>
      <c r="I37" s="416"/>
      <c r="J37" s="416"/>
      <c r="K37" s="416"/>
      <c r="L37" s="416"/>
      <c r="M37" s="416"/>
      <c r="N37" s="416"/>
    </row>
    <row r="38" spans="1:14" ht="15">
      <c r="A38" s="843" t="s">
        <v>690</v>
      </c>
      <c r="B38" s="844" t="s">
        <v>478</v>
      </c>
      <c r="C38" s="661">
        <v>1</v>
      </c>
      <c r="D38" s="836">
        <v>255.49</v>
      </c>
      <c r="I38" s="416"/>
      <c r="J38" s="416"/>
      <c r="K38" s="416"/>
      <c r="L38" s="416"/>
      <c r="M38" s="416"/>
      <c r="N38" s="416"/>
    </row>
    <row r="39" spans="1:14" ht="15">
      <c r="A39" s="380" t="s">
        <v>700</v>
      </c>
      <c r="B39" s="756" t="s">
        <v>478</v>
      </c>
      <c r="C39" s="421">
        <v>3</v>
      </c>
      <c r="D39" s="422">
        <v>5932.4</v>
      </c>
      <c r="I39" s="416"/>
      <c r="J39" s="416"/>
      <c r="K39" s="416"/>
      <c r="L39" s="416"/>
      <c r="M39" s="416"/>
      <c r="N39" s="416"/>
    </row>
    <row r="40" spans="1:14" ht="31.5" thickBot="1">
      <c r="A40" s="853" t="s">
        <v>699</v>
      </c>
      <c r="B40" s="834" t="s">
        <v>211</v>
      </c>
      <c r="C40" s="661">
        <v>3</v>
      </c>
      <c r="D40" s="835">
        <v>26966.71</v>
      </c>
      <c r="I40" s="416"/>
      <c r="J40" s="416"/>
      <c r="K40" s="416"/>
      <c r="L40" s="416"/>
      <c r="M40" s="416"/>
      <c r="N40" s="416"/>
    </row>
    <row r="41" spans="1:14" ht="16.5" thickBot="1">
      <c r="A41" s="829" t="s">
        <v>901</v>
      </c>
      <c r="B41" s="860"/>
      <c r="C41" s="831"/>
      <c r="D41" s="859">
        <v>35113.13</v>
      </c>
      <c r="I41" s="416"/>
      <c r="J41" s="416"/>
      <c r="K41" s="416"/>
      <c r="L41" s="416"/>
      <c r="M41" s="416"/>
      <c r="N41" s="416"/>
    </row>
    <row r="42" spans="1:14" ht="15.75">
      <c r="A42" s="848" t="s">
        <v>23</v>
      </c>
      <c r="B42" s="849"/>
      <c r="C42" s="850"/>
      <c r="D42" s="832"/>
      <c r="I42" s="416"/>
      <c r="J42" s="416"/>
      <c r="K42" s="416"/>
      <c r="L42" s="416"/>
      <c r="M42" s="416"/>
      <c r="N42" s="416"/>
    </row>
    <row r="43" spans="1:14" ht="15.75">
      <c r="A43" s="851" t="s">
        <v>324</v>
      </c>
      <c r="B43" s="365" t="s">
        <v>696</v>
      </c>
      <c r="C43" s="421">
        <v>4</v>
      </c>
      <c r="D43" s="421">
        <v>10516.85</v>
      </c>
      <c r="I43" s="416"/>
      <c r="J43" s="416"/>
      <c r="K43" s="416"/>
      <c r="L43" s="416"/>
      <c r="M43" s="416"/>
      <c r="N43" s="416"/>
    </row>
    <row r="44" spans="1:14" ht="15.75">
      <c r="A44" s="547" t="s">
        <v>183</v>
      </c>
      <c r="B44" s="824"/>
      <c r="C44" s="652">
        <v>4</v>
      </c>
      <c r="D44" s="441">
        <v>5288.64</v>
      </c>
      <c r="I44" s="416"/>
      <c r="J44" s="416"/>
      <c r="K44" s="416"/>
      <c r="L44" s="416"/>
      <c r="M44" s="416"/>
      <c r="N44" s="416"/>
    </row>
    <row r="45" spans="1:14" ht="15.75">
      <c r="A45" s="547" t="s">
        <v>704</v>
      </c>
      <c r="B45" s="570" t="s">
        <v>478</v>
      </c>
      <c r="C45" s="652">
        <v>3</v>
      </c>
      <c r="D45" s="441">
        <v>5215.92</v>
      </c>
      <c r="I45" s="416"/>
      <c r="J45" s="416"/>
      <c r="K45" s="416"/>
      <c r="L45" s="416"/>
      <c r="M45" s="416"/>
      <c r="N45" s="416"/>
    </row>
    <row r="46" spans="1:14" ht="15.75">
      <c r="A46" s="547" t="s">
        <v>239</v>
      </c>
      <c r="B46" s="365" t="s">
        <v>478</v>
      </c>
      <c r="C46" s="615">
        <v>3</v>
      </c>
      <c r="D46" s="421">
        <v>5957.53</v>
      </c>
      <c r="I46" s="416"/>
      <c r="J46" s="416"/>
      <c r="K46" s="416"/>
      <c r="L46" s="416"/>
      <c r="M46" s="416"/>
      <c r="N46" s="416"/>
    </row>
    <row r="47" spans="1:14" ht="16.5" thickBot="1">
      <c r="A47" s="833" t="s">
        <v>24</v>
      </c>
      <c r="B47" s="834" t="s">
        <v>478</v>
      </c>
      <c r="C47" s="616">
        <v>1</v>
      </c>
      <c r="D47" s="541">
        <v>30174.91</v>
      </c>
      <c r="I47" s="416"/>
      <c r="J47" s="416"/>
      <c r="K47" s="416"/>
      <c r="L47" s="416"/>
      <c r="M47" s="416"/>
      <c r="N47" s="416"/>
    </row>
    <row r="48" spans="1:14" ht="16.5" thickBot="1">
      <c r="A48" s="862" t="s">
        <v>701</v>
      </c>
      <c r="B48" s="860"/>
      <c r="C48" s="550"/>
      <c r="D48" s="858">
        <v>57153.85</v>
      </c>
      <c r="I48" s="416"/>
      <c r="J48" s="416"/>
      <c r="K48" s="416"/>
      <c r="L48" s="416"/>
      <c r="M48" s="416"/>
      <c r="N48" s="416"/>
    </row>
    <row r="49" spans="1:14" ht="15.75">
      <c r="A49" s="867" t="s">
        <v>915</v>
      </c>
      <c r="B49" s="849"/>
      <c r="C49" s="850"/>
      <c r="D49" s="832"/>
      <c r="I49" s="416"/>
      <c r="J49" s="416"/>
      <c r="K49" s="416"/>
      <c r="L49" s="416"/>
      <c r="M49" s="416"/>
      <c r="N49" s="416"/>
    </row>
    <row r="50" spans="1:14" ht="14.25" customHeight="1">
      <c r="A50" s="488" t="s">
        <v>212</v>
      </c>
      <c r="B50" s="365" t="s">
        <v>478</v>
      </c>
      <c r="C50" s="421">
        <v>2</v>
      </c>
      <c r="D50" s="532">
        <v>2830.14</v>
      </c>
      <c r="I50" s="416"/>
      <c r="J50" s="416"/>
      <c r="K50" s="416"/>
      <c r="L50" s="416"/>
      <c r="M50" s="416"/>
      <c r="N50" s="416"/>
    </row>
    <row r="51" spans="1:14" ht="30.75">
      <c r="A51" s="852" t="s">
        <v>698</v>
      </c>
      <c r="B51" s="570" t="s">
        <v>478</v>
      </c>
      <c r="C51" s="652">
        <v>7</v>
      </c>
      <c r="D51" s="836">
        <v>16020.48</v>
      </c>
      <c r="K51" s="416"/>
      <c r="L51" s="416"/>
      <c r="M51" s="416"/>
      <c r="N51" s="416"/>
    </row>
    <row r="52" spans="1:14" ht="16.5" thickBot="1">
      <c r="A52" s="833" t="s">
        <v>479</v>
      </c>
      <c r="B52" s="758" t="s">
        <v>52</v>
      </c>
      <c r="C52" s="616">
        <v>1</v>
      </c>
      <c r="D52" s="439">
        <v>192.63</v>
      </c>
      <c r="K52" s="416"/>
      <c r="L52" s="416"/>
      <c r="M52" s="416"/>
      <c r="N52" s="416"/>
    </row>
    <row r="53" spans="1:14" ht="16.5" thickBot="1">
      <c r="A53" s="829" t="s">
        <v>901</v>
      </c>
      <c r="B53" s="811"/>
      <c r="C53" s="550"/>
      <c r="D53" s="863">
        <v>19043.25</v>
      </c>
      <c r="K53" s="416"/>
      <c r="L53" s="416"/>
      <c r="M53" s="416"/>
      <c r="N53" s="416"/>
    </row>
    <row r="54" spans="1:14" ht="15">
      <c r="A54" s="513" t="s">
        <v>916</v>
      </c>
      <c r="B54" s="757"/>
      <c r="C54" s="615"/>
      <c r="D54" s="428"/>
      <c r="K54" s="416"/>
      <c r="L54" s="416"/>
      <c r="M54" s="416"/>
      <c r="N54" s="416"/>
    </row>
    <row r="55" spans="1:14" ht="15">
      <c r="A55" s="548" t="s">
        <v>886</v>
      </c>
      <c r="B55" s="365" t="s">
        <v>478</v>
      </c>
      <c r="C55" s="615">
        <v>10</v>
      </c>
      <c r="D55" s="421">
        <v>5856.49</v>
      </c>
      <c r="K55" s="416"/>
      <c r="L55" s="416"/>
      <c r="M55" s="416"/>
      <c r="N55" s="416"/>
    </row>
    <row r="56" spans="1:14" ht="15.75" thickBot="1">
      <c r="A56" s="574" t="s">
        <v>692</v>
      </c>
      <c r="B56" s="758" t="s">
        <v>478</v>
      </c>
      <c r="C56" s="616">
        <v>7</v>
      </c>
      <c r="D56" s="439">
        <v>7524.14</v>
      </c>
      <c r="K56" s="416"/>
      <c r="L56" s="416"/>
      <c r="M56" s="416"/>
      <c r="N56" s="416"/>
    </row>
    <row r="57" spans="1:14" ht="15.75" thickBot="1">
      <c r="A57" s="806" t="s">
        <v>901</v>
      </c>
      <c r="B57" s="811"/>
      <c r="C57" s="550"/>
      <c r="D57" s="863">
        <v>13380.63</v>
      </c>
      <c r="K57" s="416"/>
      <c r="L57" s="416"/>
      <c r="M57" s="416"/>
      <c r="N57" s="416"/>
    </row>
    <row r="58" spans="1:14" ht="15">
      <c r="A58" s="513" t="s">
        <v>693</v>
      </c>
      <c r="B58" s="824"/>
      <c r="C58" s="652"/>
      <c r="D58" s="441"/>
      <c r="K58" s="416"/>
      <c r="L58" s="416"/>
      <c r="M58" s="416"/>
      <c r="N58" s="416"/>
    </row>
    <row r="59" spans="1:14" ht="15">
      <c r="A59" s="359" t="s">
        <v>695</v>
      </c>
      <c r="B59" s="365" t="s">
        <v>478</v>
      </c>
      <c r="C59" s="421">
        <v>4</v>
      </c>
      <c r="D59" s="421">
        <v>2685.67</v>
      </c>
      <c r="K59" s="416"/>
      <c r="L59" s="416"/>
      <c r="M59" s="416"/>
      <c r="N59" s="416"/>
    </row>
    <row r="60" spans="1:14" ht="15">
      <c r="A60" s="843" t="s">
        <v>690</v>
      </c>
      <c r="B60" s="834" t="s">
        <v>478</v>
      </c>
      <c r="C60" s="661">
        <v>2</v>
      </c>
      <c r="D60" s="836">
        <v>1306.66</v>
      </c>
      <c r="K60" s="416"/>
      <c r="L60" s="416"/>
      <c r="M60" s="416"/>
      <c r="N60" s="416"/>
    </row>
    <row r="61" spans="1:14" ht="15">
      <c r="A61" s="380" t="s">
        <v>694</v>
      </c>
      <c r="B61" s="677" t="s">
        <v>478</v>
      </c>
      <c r="C61" s="421">
        <v>3</v>
      </c>
      <c r="D61" s="422">
        <v>3601.42</v>
      </c>
      <c r="K61" s="416"/>
      <c r="L61" s="416"/>
      <c r="M61" s="416"/>
      <c r="N61" s="416"/>
    </row>
    <row r="62" spans="1:14" ht="16.5" thickBot="1">
      <c r="A62" s="845" t="s">
        <v>318</v>
      </c>
      <c r="B62" s="570" t="s">
        <v>211</v>
      </c>
      <c r="C62" s="661">
        <v>3</v>
      </c>
      <c r="D62" s="835">
        <v>8290.32</v>
      </c>
      <c r="K62" s="416"/>
      <c r="L62" s="416"/>
      <c r="M62" s="416"/>
      <c r="N62" s="416"/>
    </row>
    <row r="63" spans="1:14" ht="16.5" thickBot="1">
      <c r="A63" s="847" t="s">
        <v>901</v>
      </c>
      <c r="B63" s="830"/>
      <c r="C63" s="831"/>
      <c r="D63" s="859">
        <v>15884.07</v>
      </c>
      <c r="K63" s="416"/>
      <c r="L63" s="416"/>
      <c r="M63" s="416"/>
      <c r="N63" s="416"/>
    </row>
    <row r="64" spans="1:14" ht="16.5" thickBot="1">
      <c r="A64" s="829" t="s">
        <v>902</v>
      </c>
      <c r="B64" s="865"/>
      <c r="C64" s="868"/>
      <c r="D64" s="841">
        <v>277663.48</v>
      </c>
      <c r="K64" s="416"/>
      <c r="L64" s="416"/>
      <c r="M64" s="416"/>
      <c r="N64" s="416"/>
    </row>
    <row r="65" spans="1:14" ht="16.5" thickBot="1">
      <c r="A65" s="866" t="s">
        <v>903</v>
      </c>
      <c r="B65" s="865"/>
      <c r="C65" s="803"/>
      <c r="D65" s="863">
        <v>41510.16</v>
      </c>
      <c r="K65" s="416"/>
      <c r="L65" s="416"/>
      <c r="M65" s="416"/>
      <c r="N65" s="416"/>
    </row>
    <row r="66" spans="1:14" ht="16.5" thickBot="1">
      <c r="A66" s="866" t="s">
        <v>703</v>
      </c>
      <c r="B66" s="865"/>
      <c r="C66" s="803"/>
      <c r="D66" s="863">
        <v>38104.99</v>
      </c>
      <c r="K66" s="416"/>
      <c r="L66" s="416"/>
      <c r="M66" s="416"/>
      <c r="N66" s="416"/>
    </row>
    <row r="67" spans="1:14" ht="16.5" thickBot="1">
      <c r="A67" s="866" t="s">
        <v>702</v>
      </c>
      <c r="B67" s="865"/>
      <c r="C67" s="803"/>
      <c r="D67" s="863">
        <v>185966.98</v>
      </c>
      <c r="K67" s="416"/>
      <c r="L67" s="416"/>
      <c r="M67" s="416"/>
      <c r="N67" s="416"/>
    </row>
    <row r="68" spans="1:14" ht="15.75">
      <c r="A68" s="864"/>
      <c r="B68" s="570"/>
      <c r="C68" s="441"/>
      <c r="D68" s="441"/>
      <c r="K68" s="416"/>
      <c r="L68" s="416"/>
      <c r="M68" s="416"/>
      <c r="N68" s="416"/>
    </row>
    <row r="69" spans="1:14" ht="15">
      <c r="A69" s="838" t="s">
        <v>918</v>
      </c>
      <c r="B69" s="365"/>
      <c r="C69" s="679"/>
      <c r="D69" s="869">
        <v>1006938.74</v>
      </c>
      <c r="K69" s="416"/>
      <c r="L69" s="416"/>
      <c r="M69" s="416"/>
      <c r="N69" s="416"/>
    </row>
    <row r="70" spans="1:14" ht="15">
      <c r="A70" s="196"/>
      <c r="B70" s="196"/>
      <c r="C70" s="196"/>
      <c r="D70" s="197"/>
      <c r="K70" s="416"/>
      <c r="L70" s="416"/>
      <c r="M70" s="416"/>
      <c r="N70" s="416"/>
    </row>
    <row r="71" spans="1:14" ht="12.75">
      <c r="A71" s="1353"/>
      <c r="B71" s="1354"/>
      <c r="C71" s="374"/>
      <c r="D71" s="442"/>
      <c r="K71" s="416"/>
      <c r="L71" s="416"/>
      <c r="M71" s="416"/>
      <c r="N71" s="416"/>
    </row>
    <row r="72" spans="1:14" ht="12.75">
      <c r="A72" s="1355"/>
      <c r="B72" s="1356"/>
      <c r="C72" s="559"/>
      <c r="D72" s="559"/>
      <c r="K72" s="416"/>
      <c r="L72" s="416"/>
      <c r="M72" s="416"/>
      <c r="N72" s="416"/>
    </row>
    <row r="73" spans="1:14" ht="15">
      <c r="A73" s="372" t="s">
        <v>568</v>
      </c>
      <c r="B73" s="472"/>
      <c r="C73" s="577"/>
      <c r="D73" s="577">
        <v>0</v>
      </c>
      <c r="K73" s="416"/>
      <c r="L73" s="416"/>
      <c r="M73" s="416"/>
      <c r="N73" s="416"/>
    </row>
    <row r="74" spans="1:14" ht="15">
      <c r="A74" s="1357" t="s">
        <v>569</v>
      </c>
      <c r="B74" s="1358"/>
      <c r="C74" s="628"/>
      <c r="D74" s="608">
        <v>1064804.47</v>
      </c>
      <c r="K74" s="416"/>
      <c r="L74" s="416"/>
      <c r="M74" s="416"/>
      <c r="N74" s="416"/>
    </row>
    <row r="75" spans="1:14" ht="15">
      <c r="A75" s="1359" t="s">
        <v>570</v>
      </c>
      <c r="B75" s="1360"/>
      <c r="C75" s="604"/>
      <c r="D75" s="605">
        <v>1006938.74</v>
      </c>
      <c r="K75" s="416"/>
      <c r="L75" s="416"/>
      <c r="M75" s="416"/>
      <c r="N75" s="416"/>
    </row>
    <row r="76" spans="1:4" ht="15">
      <c r="A76" s="1361" t="s">
        <v>571</v>
      </c>
      <c r="B76" s="1362"/>
      <c r="C76" s="629"/>
      <c r="D76" s="629">
        <v>-57865.73</v>
      </c>
    </row>
    <row r="77" spans="1:4" ht="15">
      <c r="A77" s="1351" t="s">
        <v>179</v>
      </c>
      <c r="B77" s="1352"/>
      <c r="C77" s="681"/>
      <c r="D77" s="630">
        <v>-57865.73</v>
      </c>
    </row>
    <row r="78" spans="1:4" ht="15">
      <c r="A78" s="735"/>
      <c r="B78"/>
      <c r="C78" s="596"/>
      <c r="D78" s="11"/>
    </row>
    <row r="81" ht="17.25" customHeight="1"/>
    <row r="82" ht="14.25" customHeight="1"/>
    <row r="83" ht="14.25" customHeight="1"/>
    <row r="84" spans="1:3" ht="12.75">
      <c r="A84" s="1" t="s">
        <v>180</v>
      </c>
      <c r="C84" s="1" t="s">
        <v>573</v>
      </c>
    </row>
    <row r="90" ht="12.75">
      <c r="A90" s="744" t="s">
        <v>357</v>
      </c>
    </row>
    <row r="91" ht="12.75">
      <c r="A91" s="735" t="s">
        <v>906</v>
      </c>
    </row>
    <row r="92" ht="12.75">
      <c r="A92" s="735" t="s">
        <v>358</v>
      </c>
    </row>
  </sheetData>
  <sheetProtection/>
  <mergeCells count="19">
    <mergeCell ref="A77:B77"/>
    <mergeCell ref="A71:B72"/>
    <mergeCell ref="A74:B74"/>
    <mergeCell ref="A75:B75"/>
    <mergeCell ref="A76:B76"/>
    <mergeCell ref="A4:B4"/>
    <mergeCell ref="A9:B9"/>
    <mergeCell ref="A11:B12"/>
    <mergeCell ref="A5:B5"/>
    <mergeCell ref="A6:B6"/>
    <mergeCell ref="A7:B7"/>
    <mergeCell ref="A19:D19"/>
    <mergeCell ref="A20:D20"/>
    <mergeCell ref="C11:D12"/>
    <mergeCell ref="C13:D13"/>
    <mergeCell ref="C14:D14"/>
    <mergeCell ref="C15:D15"/>
    <mergeCell ref="C16:D16"/>
    <mergeCell ref="C17:D17"/>
  </mergeCells>
  <printOptions/>
  <pageMargins left="0.1968503937007874" right="0.1968503937007874" top="0.3937007874015748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7">
      <selection activeCell="A14" sqref="A14:IV14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978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v>540.27</v>
      </c>
      <c r="D11" s="136">
        <v>120.83</v>
      </c>
    </row>
    <row r="12" spans="1:4" ht="15.75" thickBot="1">
      <c r="A12" s="1341" t="s">
        <v>646</v>
      </c>
      <c r="B12" s="1342"/>
      <c r="C12" s="137">
        <v>26565.85</v>
      </c>
      <c r="D12" s="136">
        <v>5897.75</v>
      </c>
    </row>
    <row r="13" spans="1:4" ht="15.75" thickBot="1">
      <c r="A13" s="1341" t="s">
        <v>647</v>
      </c>
      <c r="B13" s="1342"/>
      <c r="C13" s="135">
        <v>20732.98</v>
      </c>
      <c r="D13" s="136">
        <v>4774.11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6373.139999999999</v>
      </c>
      <c r="D15" s="136">
        <f>D11+D12-D13</f>
        <v>1244.4700000000003</v>
      </c>
    </row>
    <row r="16" spans="1:4" ht="15.75" thickBot="1">
      <c r="A16" s="1341" t="s">
        <v>806</v>
      </c>
      <c r="B16" s="1342"/>
      <c r="C16" s="170">
        <f>D22+D31</f>
        <v>73877.08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</f>
        <v>71520.87</v>
      </c>
    </row>
    <row r="23" spans="1:4" ht="27" thickBot="1">
      <c r="A23" s="224" t="s">
        <v>662</v>
      </c>
      <c r="B23" s="64" t="s">
        <v>652</v>
      </c>
      <c r="C23" s="45"/>
      <c r="D23" s="208">
        <v>65061.55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208">
        <v>5480.07</v>
      </c>
    </row>
    <row r="25" spans="1:4" ht="15.75" thickBot="1">
      <c r="A25" s="147" t="s">
        <v>685</v>
      </c>
      <c r="B25" s="184" t="s">
        <v>817</v>
      </c>
      <c r="C25" s="185"/>
      <c r="D25" s="209">
        <v>979.25</v>
      </c>
    </row>
    <row r="26" spans="1:4" ht="15">
      <c r="A26" s="221" t="s">
        <v>760</v>
      </c>
      <c r="B26" s="222"/>
      <c r="C26" s="217"/>
      <c r="D26" s="223">
        <f>D28+D29</f>
        <v>2356.21</v>
      </c>
    </row>
    <row r="27" spans="1:4" ht="14.25">
      <c r="A27" s="151" t="s">
        <v>676</v>
      </c>
      <c r="B27" s="216"/>
      <c r="C27" s="217"/>
      <c r="D27" s="218"/>
    </row>
    <row r="28" spans="1:4" ht="14.25">
      <c r="A28" s="132" t="s">
        <v>883</v>
      </c>
      <c r="B28" s="74" t="s">
        <v>661</v>
      </c>
      <c r="C28" s="217"/>
      <c r="D28" s="179">
        <v>548.51</v>
      </c>
    </row>
    <row r="29" spans="1:4" ht="14.25">
      <c r="A29" s="157" t="s">
        <v>880</v>
      </c>
      <c r="B29" s="74" t="s">
        <v>661</v>
      </c>
      <c r="C29" s="153"/>
      <c r="D29" s="177">
        <v>1807.7</v>
      </c>
    </row>
    <row r="30" spans="1:4" ht="14.25" hidden="1">
      <c r="A30" s="157"/>
      <c r="B30" s="153"/>
      <c r="C30" s="152"/>
      <c r="D30" s="160"/>
    </row>
    <row r="31" spans="1:4" ht="15" hidden="1">
      <c r="A31" s="162" t="s">
        <v>821</v>
      </c>
      <c r="B31" s="163"/>
      <c r="C31" s="164"/>
      <c r="D31" s="165">
        <f>SUM(D27:D30)</f>
        <v>2356.21</v>
      </c>
    </row>
    <row r="32" spans="1:4" ht="15">
      <c r="A32" s="71"/>
      <c r="B32" s="11"/>
      <c r="C32" s="11"/>
      <c r="D32" s="11"/>
    </row>
    <row r="33" spans="1:4" ht="15">
      <c r="A33" s="71"/>
      <c r="B33" s="11"/>
      <c r="C33" s="11"/>
      <c r="D33" s="11"/>
    </row>
    <row r="34" spans="1:4" ht="15">
      <c r="A34" s="71"/>
      <c r="B34" s="11"/>
      <c r="C34" s="11"/>
      <c r="D34" s="11"/>
    </row>
    <row r="35" spans="1:4" ht="15">
      <c r="A35" s="71"/>
      <c r="B35" s="11"/>
      <c r="C35" s="11"/>
      <c r="D35" s="11"/>
    </row>
    <row r="36" spans="1:3" ht="15.75">
      <c r="A36" s="187" t="s">
        <v>921</v>
      </c>
      <c r="B36" s="187"/>
      <c r="C36" s="187" t="s">
        <v>889</v>
      </c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3" ht="15.75">
      <c r="A43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979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v>9504.42</v>
      </c>
      <c r="D11" s="136">
        <v>3395.39</v>
      </c>
    </row>
    <row r="12" spans="1:4" ht="15.75" thickBot="1">
      <c r="A12" s="1341" t="s">
        <v>646</v>
      </c>
      <c r="B12" s="1342"/>
      <c r="C12" s="137">
        <v>57084.48</v>
      </c>
      <c r="D12" s="136">
        <v>4097.34</v>
      </c>
    </row>
    <row r="13" spans="1:4" ht="15.75" thickBot="1">
      <c r="A13" s="1341" t="s">
        <v>647</v>
      </c>
      <c r="B13" s="1342"/>
      <c r="C13" s="135">
        <v>45308.8</v>
      </c>
      <c r="D13" s="136">
        <v>5505.52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21280.100000000006</v>
      </c>
      <c r="D15" s="136">
        <f>D11+D12-D13</f>
        <v>1987.2099999999991</v>
      </c>
    </row>
    <row r="16" spans="1:4" ht="15.75" thickBot="1">
      <c r="A16" s="1341" t="s">
        <v>806</v>
      </c>
      <c r="B16" s="1342"/>
      <c r="C16" s="170">
        <f>D22+D38</f>
        <v>45541.58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</f>
        <v>19159.95</v>
      </c>
    </row>
    <row r="23" spans="1:4" ht="15.75" thickBot="1">
      <c r="A23" s="133" t="s">
        <v>654</v>
      </c>
      <c r="B23" s="48" t="s">
        <v>656</v>
      </c>
      <c r="C23" s="45" t="s">
        <v>801</v>
      </c>
      <c r="D23" s="171">
        <v>14341.32</v>
      </c>
    </row>
    <row r="24" spans="1:4" ht="15.75" thickBot="1">
      <c r="A24" s="133" t="s">
        <v>799</v>
      </c>
      <c r="B24" s="181" t="s">
        <v>661</v>
      </c>
      <c r="C24" s="182"/>
      <c r="D24" s="183">
        <v>1914.07</v>
      </c>
    </row>
    <row r="25" spans="1:4" ht="15.75" thickBot="1">
      <c r="A25" s="147" t="s">
        <v>685</v>
      </c>
      <c r="B25" s="184" t="s">
        <v>817</v>
      </c>
      <c r="C25" s="45" t="s">
        <v>801</v>
      </c>
      <c r="D25" s="186">
        <v>2904.56</v>
      </c>
    </row>
    <row r="26" spans="1:4" ht="15.75" thickBot="1">
      <c r="A26" s="148" t="s">
        <v>760</v>
      </c>
      <c r="B26" s="149"/>
      <c r="C26" s="139"/>
      <c r="D26" s="194">
        <f>D28+D30+D31+D32+D34+D35+D36</f>
        <v>26381.63</v>
      </c>
    </row>
    <row r="27" spans="1:4" ht="24.75" thickBot="1">
      <c r="A27" s="150" t="s">
        <v>672</v>
      </c>
      <c r="B27" s="15" t="s">
        <v>920</v>
      </c>
      <c r="C27" s="49" t="s">
        <v>673</v>
      </c>
      <c r="D27" s="176" t="s">
        <v>793</v>
      </c>
    </row>
    <row r="28" spans="1:4" ht="14.25">
      <c r="A28" s="156" t="s">
        <v>816</v>
      </c>
      <c r="B28" s="74" t="s">
        <v>661</v>
      </c>
      <c r="C28" s="153"/>
      <c r="D28" s="177">
        <v>402.46</v>
      </c>
    </row>
    <row r="29" spans="1:4" ht="14.25">
      <c r="A29" s="151" t="s">
        <v>676</v>
      </c>
      <c r="B29" s="116"/>
      <c r="C29" s="153"/>
      <c r="D29" s="177"/>
    </row>
    <row r="30" spans="1:4" ht="14.25">
      <c r="A30" s="132" t="s">
        <v>883</v>
      </c>
      <c r="B30" s="74" t="s">
        <v>661</v>
      </c>
      <c r="C30" s="153"/>
      <c r="D30" s="179">
        <v>10180.22</v>
      </c>
    </row>
    <row r="31" spans="1:4" ht="14.25">
      <c r="A31" s="157" t="s">
        <v>880</v>
      </c>
      <c r="B31" s="74" t="s">
        <v>661</v>
      </c>
      <c r="C31" s="153"/>
      <c r="D31" s="179">
        <v>6081.75</v>
      </c>
    </row>
    <row r="32" spans="1:4" ht="14.25">
      <c r="A32" s="157" t="s">
        <v>925</v>
      </c>
      <c r="B32" s="74" t="s">
        <v>661</v>
      </c>
      <c r="C32" s="153"/>
      <c r="D32" s="180">
        <v>6941.13</v>
      </c>
    </row>
    <row r="33" spans="1:4" ht="15">
      <c r="A33" s="151" t="s">
        <v>682</v>
      </c>
      <c r="B33" s="118"/>
      <c r="C33" s="153"/>
      <c r="D33" s="191"/>
    </row>
    <row r="34" spans="1:4" ht="14.25">
      <c r="A34" s="159" t="s">
        <v>884</v>
      </c>
      <c r="B34" s="74" t="s">
        <v>661</v>
      </c>
      <c r="C34" s="153"/>
      <c r="D34" s="192">
        <v>698.32</v>
      </c>
    </row>
    <row r="35" spans="1:4" ht="14.25">
      <c r="A35" s="159" t="s">
        <v>888</v>
      </c>
      <c r="B35" s="74" t="s">
        <v>661</v>
      </c>
      <c r="C35" s="153"/>
      <c r="D35" s="192">
        <f>645.57+1239.07</f>
        <v>1884.6399999999999</v>
      </c>
    </row>
    <row r="36" spans="1:4" ht="14.25">
      <c r="A36" s="159" t="s">
        <v>929</v>
      </c>
      <c r="B36" s="74" t="s">
        <v>661</v>
      </c>
      <c r="C36" s="152"/>
      <c r="D36" s="192">
        <v>193.11</v>
      </c>
    </row>
    <row r="37" spans="1:4" ht="14.25" hidden="1">
      <c r="A37" s="157"/>
      <c r="B37" s="153"/>
      <c r="C37" s="152"/>
      <c r="D37" s="160"/>
    </row>
    <row r="38" spans="1:4" ht="15" hidden="1">
      <c r="A38" s="162" t="s">
        <v>821</v>
      </c>
      <c r="B38" s="163"/>
      <c r="C38" s="164"/>
      <c r="D38" s="165">
        <f>SUM(D28:D37)</f>
        <v>26381.63</v>
      </c>
    </row>
    <row r="39" spans="1:4" ht="15">
      <c r="A39" s="71"/>
      <c r="B39" s="11"/>
      <c r="C39" s="11"/>
      <c r="D39" s="11"/>
    </row>
    <row r="40" spans="1:4" ht="15">
      <c r="A40" s="71"/>
      <c r="B40" s="11"/>
      <c r="C40" s="11"/>
      <c r="D40" s="11"/>
    </row>
    <row r="41" spans="1:4" ht="15">
      <c r="A41" s="71"/>
      <c r="B41" s="11"/>
      <c r="C41" s="11"/>
      <c r="D41" s="11"/>
    </row>
    <row r="42" spans="1:4" ht="15">
      <c r="A42" s="71"/>
      <c r="B42" s="11"/>
      <c r="C42" s="11"/>
      <c r="D42" s="11"/>
    </row>
    <row r="43" spans="1:3" ht="15.75">
      <c r="A43" s="187" t="s">
        <v>921</v>
      </c>
      <c r="B43" s="187"/>
      <c r="C43" s="187" t="s">
        <v>889</v>
      </c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50" ht="15.75">
      <c r="A50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9">
      <selection activeCell="A1" sqref="A1:D50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980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30.96+4116.9</f>
        <v>4147.86</v>
      </c>
      <c r="D11" s="136">
        <v>1538.1</v>
      </c>
    </row>
    <row r="12" spans="1:4" ht="15.75" thickBot="1">
      <c r="A12" s="1341" t="s">
        <v>646</v>
      </c>
      <c r="B12" s="1342"/>
      <c r="C12" s="137">
        <f>200.8+57145.26</f>
        <v>57346.060000000005</v>
      </c>
      <c r="D12" s="136">
        <v>5127.02</v>
      </c>
    </row>
    <row r="13" spans="1:4" ht="15.75" thickBot="1">
      <c r="A13" s="1341" t="s">
        <v>647</v>
      </c>
      <c r="B13" s="1342"/>
      <c r="C13" s="135">
        <f>231.76+57763.04</f>
        <v>57994.8</v>
      </c>
      <c r="D13" s="136">
        <v>6665.1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3499.1200000000026</v>
      </c>
      <c r="D15" s="136">
        <f>D11+D12-D13</f>
        <v>0.020000000000436557</v>
      </c>
    </row>
    <row r="16" spans="1:7" ht="17.25" customHeight="1" thickBot="1">
      <c r="A16" s="1341" t="s">
        <v>806</v>
      </c>
      <c r="B16" s="1342"/>
      <c r="C16" s="170">
        <f>D22+D41</f>
        <v>100108.25</v>
      </c>
      <c r="D16" s="138"/>
      <c r="G16" s="193" t="s">
        <v>987</v>
      </c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</f>
        <v>20579.86</v>
      </c>
    </row>
    <row r="23" spans="1:4" ht="15.75" thickBot="1">
      <c r="A23" s="133" t="s">
        <v>654</v>
      </c>
      <c r="B23" s="48" t="s">
        <v>656</v>
      </c>
      <c r="C23" s="45" t="s">
        <v>801</v>
      </c>
      <c r="D23" s="171">
        <v>13640.54</v>
      </c>
    </row>
    <row r="24" spans="1:4" ht="15.75" thickBot="1">
      <c r="A24" s="133" t="s">
        <v>879</v>
      </c>
      <c r="B24" s="181" t="s">
        <v>661</v>
      </c>
      <c r="C24" s="182"/>
      <c r="D24" s="183">
        <v>4176.68</v>
      </c>
    </row>
    <row r="25" spans="1:4" ht="15.75" thickBot="1">
      <c r="A25" s="147" t="s">
        <v>685</v>
      </c>
      <c r="B25" s="184" t="s">
        <v>817</v>
      </c>
      <c r="C25" s="45" t="s">
        <v>801</v>
      </c>
      <c r="D25" s="186">
        <v>2762.64</v>
      </c>
    </row>
    <row r="26" spans="1:4" ht="15.75" thickBot="1">
      <c r="A26" s="148" t="s">
        <v>760</v>
      </c>
      <c r="B26" s="149"/>
      <c r="C26" s="139"/>
      <c r="D26" s="194">
        <f>D28+D29+D30+D31+D33+D34+D35+D36+D38+D39</f>
        <v>79528.39</v>
      </c>
    </row>
    <row r="27" spans="1:4" ht="24.75" thickBot="1">
      <c r="A27" s="150" t="s">
        <v>672</v>
      </c>
      <c r="B27" s="15" t="s">
        <v>920</v>
      </c>
      <c r="C27" s="49" t="s">
        <v>673</v>
      </c>
      <c r="D27" s="176" t="s">
        <v>793</v>
      </c>
    </row>
    <row r="28" spans="1:4" ht="14.25" hidden="1">
      <c r="A28" s="156" t="s">
        <v>816</v>
      </c>
      <c r="B28" s="74" t="s">
        <v>661</v>
      </c>
      <c r="C28" s="153"/>
      <c r="D28" s="177">
        <f>463.6-463.6</f>
        <v>0</v>
      </c>
    </row>
    <row r="29" spans="1:4" ht="14.25">
      <c r="A29" s="188" t="s">
        <v>928</v>
      </c>
      <c r="B29" s="74" t="s">
        <v>661</v>
      </c>
      <c r="C29" s="153"/>
      <c r="D29" s="177">
        <f>11482.34+21455.22+463.6</f>
        <v>33401.159999999996</v>
      </c>
    </row>
    <row r="30" spans="1:4" ht="14.25">
      <c r="A30" s="188" t="s">
        <v>930</v>
      </c>
      <c r="B30" s="74" t="s">
        <v>661</v>
      </c>
      <c r="C30" s="153"/>
      <c r="D30" s="177">
        <f>427.73+1827.77</f>
        <v>2255.5</v>
      </c>
    </row>
    <row r="31" spans="1:4" ht="14.25">
      <c r="A31" s="188" t="s">
        <v>997</v>
      </c>
      <c r="B31" s="74" t="s">
        <v>661</v>
      </c>
      <c r="C31" s="153"/>
      <c r="D31" s="177">
        <f>1126.99+953.02</f>
        <v>2080.01</v>
      </c>
    </row>
    <row r="32" spans="1:4" ht="14.25">
      <c r="A32" s="151" t="s">
        <v>676</v>
      </c>
      <c r="B32" s="116"/>
      <c r="C32" s="153"/>
      <c r="D32" s="177"/>
    </row>
    <row r="33" spans="1:4" ht="14.25">
      <c r="A33" s="157" t="s">
        <v>815</v>
      </c>
      <c r="B33" s="74" t="s">
        <v>661</v>
      </c>
      <c r="C33" s="153"/>
      <c r="D33" s="178">
        <v>1169.15</v>
      </c>
    </row>
    <row r="34" spans="1:4" ht="14.25">
      <c r="A34" s="132" t="s">
        <v>883</v>
      </c>
      <c r="B34" s="74" t="s">
        <v>661</v>
      </c>
      <c r="C34" s="153"/>
      <c r="D34" s="179">
        <v>3301.98</v>
      </c>
    </row>
    <row r="35" spans="1:4" ht="14.25">
      <c r="A35" s="157" t="s">
        <v>880</v>
      </c>
      <c r="B35" s="74" t="s">
        <v>661</v>
      </c>
      <c r="C35" s="153"/>
      <c r="D35" s="179">
        <v>351.76</v>
      </c>
    </row>
    <row r="36" spans="1:4" ht="14.25">
      <c r="A36" s="157" t="s">
        <v>925</v>
      </c>
      <c r="B36" s="74" t="s">
        <v>661</v>
      </c>
      <c r="C36" s="153"/>
      <c r="D36" s="180">
        <f>35883.77+443.96</f>
        <v>36327.729999999996</v>
      </c>
    </row>
    <row r="37" spans="1:4" ht="15">
      <c r="A37" s="151" t="s">
        <v>682</v>
      </c>
      <c r="B37" s="118"/>
      <c r="C37" s="153"/>
      <c r="D37" s="191"/>
    </row>
    <row r="38" spans="1:4" ht="14.25">
      <c r="A38" s="159" t="s">
        <v>998</v>
      </c>
      <c r="B38" s="74" t="s">
        <v>661</v>
      </c>
      <c r="C38" s="153"/>
      <c r="D38" s="192">
        <v>457.43</v>
      </c>
    </row>
    <row r="39" spans="1:4" ht="14.25">
      <c r="A39" s="159" t="s">
        <v>929</v>
      </c>
      <c r="B39" s="74" t="s">
        <v>661</v>
      </c>
      <c r="C39" s="153"/>
      <c r="D39" s="192">
        <v>183.67</v>
      </c>
    </row>
    <row r="40" spans="1:4" ht="14.25" hidden="1">
      <c r="A40" s="157"/>
      <c r="B40" s="153"/>
      <c r="C40" s="152"/>
      <c r="D40" s="160"/>
    </row>
    <row r="41" spans="1:4" ht="15" hidden="1">
      <c r="A41" s="162" t="s">
        <v>821</v>
      </c>
      <c r="B41" s="163"/>
      <c r="C41" s="164"/>
      <c r="D41" s="165">
        <f>SUM(D28:D40)</f>
        <v>79528.39</v>
      </c>
    </row>
    <row r="42" spans="1:4" ht="15">
      <c r="A42" s="71"/>
      <c r="B42" s="11"/>
      <c r="C42" s="11"/>
      <c r="D42" s="11"/>
    </row>
    <row r="43" spans="1:4" ht="15">
      <c r="A43" s="71"/>
      <c r="B43" s="11"/>
      <c r="C43" s="11"/>
      <c r="D43" s="11"/>
    </row>
    <row r="44" spans="1:4" ht="15">
      <c r="A44" s="71"/>
      <c r="B44" s="11"/>
      <c r="C44" s="11"/>
      <c r="D44" s="11"/>
    </row>
    <row r="45" spans="1:4" ht="15">
      <c r="A45" s="71"/>
      <c r="B45" s="11"/>
      <c r="C45" s="11"/>
      <c r="D45" s="11"/>
    </row>
    <row r="46" spans="1:3" ht="15.75">
      <c r="A46" s="187" t="s">
        <v>921</v>
      </c>
      <c r="B46" s="187"/>
      <c r="C46" s="187" t="s">
        <v>889</v>
      </c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3" ht="15.75">
      <c r="A53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99CC"/>
  </sheetPr>
  <dimension ref="A1:I74"/>
  <sheetViews>
    <sheetView zoomScalePageLayoutView="0" workbookViewId="0" topLeftCell="A5">
      <selection activeCell="C21" sqref="C21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spans="1:4" ht="14.25" hidden="1">
      <c r="A1" s="341" t="s">
        <v>124</v>
      </c>
      <c r="B1" s="329"/>
      <c r="C1" s="332"/>
      <c r="D1" s="340"/>
    </row>
    <row r="2" spans="1:4" ht="14.25" hidden="1">
      <c r="A2" s="341" t="s">
        <v>125</v>
      </c>
      <c r="B2" s="329"/>
      <c r="C2" s="332"/>
      <c r="D2" s="340"/>
    </row>
    <row r="3" spans="1:4" ht="14.25" hidden="1">
      <c r="A3" s="157"/>
      <c r="B3" s="153"/>
      <c r="C3" s="152"/>
      <c r="D3" s="157"/>
    </row>
    <row r="4" spans="1:4" ht="15" hidden="1">
      <c r="A4" s="162" t="s">
        <v>821</v>
      </c>
      <c r="B4" s="163"/>
      <c r="C4" s="164"/>
      <c r="D4" s="343">
        <f>SUM(D1:D3)</f>
        <v>0</v>
      </c>
    </row>
    <row r="5" spans="3:4" ht="12.75">
      <c r="C5" s="355"/>
      <c r="D5" s="355"/>
    </row>
    <row r="6" spans="3:4" ht="15" customHeight="1">
      <c r="C6" s="1364" t="s">
        <v>792</v>
      </c>
      <c r="D6" s="1364"/>
    </row>
    <row r="7" spans="1:4" ht="22.5">
      <c r="A7" s="1365" t="s">
        <v>687</v>
      </c>
      <c r="B7" s="1365"/>
      <c r="C7" s="140"/>
      <c r="D7" s="140"/>
    </row>
    <row r="8" spans="1:4" ht="15.75">
      <c r="A8" s="1363" t="s">
        <v>497</v>
      </c>
      <c r="B8" s="1363"/>
      <c r="C8" s="91"/>
      <c r="D8" s="91"/>
    </row>
    <row r="9" spans="1:4" ht="15.75">
      <c r="A9" s="1363" t="s">
        <v>641</v>
      </c>
      <c r="B9" s="1363"/>
      <c r="C9" s="91"/>
      <c r="D9" s="91"/>
    </row>
    <row r="10" spans="1:4" ht="15.75">
      <c r="A10" s="1363" t="s">
        <v>804</v>
      </c>
      <c r="B10" s="1363"/>
      <c r="C10" s="91"/>
      <c r="D10" s="91"/>
    </row>
    <row r="11" spans="1:3" ht="18.75">
      <c r="A11" s="417"/>
      <c r="B11" s="417"/>
      <c r="C11"/>
    </row>
    <row r="12" spans="1:4" ht="15">
      <c r="A12" s="1343" t="s">
        <v>219</v>
      </c>
      <c r="B12" s="1343"/>
      <c r="C12" s="139"/>
      <c r="D12" s="139"/>
    </row>
    <row r="13" spans="1:4" ht="12.75">
      <c r="A13" s="4"/>
      <c r="B13"/>
      <c r="C13"/>
      <c r="D13" s="8"/>
    </row>
    <row r="14" spans="1:4" ht="12.75" customHeight="1">
      <c r="A14" s="1353" t="s">
        <v>642</v>
      </c>
      <c r="B14" s="1325"/>
      <c r="C14" s="1366" t="s">
        <v>488</v>
      </c>
      <c r="D14" s="1367"/>
    </row>
    <row r="15" spans="1:4" ht="12.75">
      <c r="A15" s="1326"/>
      <c r="B15" s="1307"/>
      <c r="C15" s="1368"/>
      <c r="D15" s="1369"/>
    </row>
    <row r="16" spans="1:4" ht="15">
      <c r="A16" s="1361" t="s">
        <v>347</v>
      </c>
      <c r="B16" s="1362"/>
      <c r="C16" s="1323">
        <v>50723.38</v>
      </c>
      <c r="D16" s="1379"/>
    </row>
    <row r="17" spans="1:4" ht="14.25">
      <c r="A17" s="1357" t="s">
        <v>486</v>
      </c>
      <c r="B17" s="1358"/>
      <c r="C17" s="1312">
        <v>57084.48</v>
      </c>
      <c r="D17" s="1313"/>
    </row>
    <row r="18" spans="1:4" ht="14.25">
      <c r="A18" s="1359" t="s">
        <v>485</v>
      </c>
      <c r="B18" s="1360"/>
      <c r="C18" s="1375">
        <v>35732.49</v>
      </c>
      <c r="D18" s="1376"/>
    </row>
    <row r="19" spans="1:9" ht="15">
      <c r="A19" s="1361" t="s">
        <v>348</v>
      </c>
      <c r="B19" s="1362"/>
      <c r="C19" s="1377">
        <f>C16+C17-C18</f>
        <v>72075.37</v>
      </c>
      <c r="D19" s="1378"/>
      <c r="I19" t="s">
        <v>465</v>
      </c>
    </row>
    <row r="20" spans="1:4" ht="14.25">
      <c r="A20" s="1351" t="s">
        <v>37</v>
      </c>
      <c r="B20" s="1352"/>
      <c r="C20" s="1377">
        <v>88648.71</v>
      </c>
      <c r="D20" s="1378"/>
    </row>
    <row r="21" spans="1:4" ht="14.25">
      <c r="A21" s="538"/>
      <c r="B21" s="538"/>
      <c r="C21" s="539"/>
      <c r="D21" s="539"/>
    </row>
    <row r="22" spans="1:4" ht="15.75">
      <c r="A22" s="1340" t="s">
        <v>650</v>
      </c>
      <c r="B22" s="1340"/>
      <c r="C22" s="1340"/>
      <c r="D22" s="1340"/>
    </row>
    <row r="23" spans="1:4" ht="15.75">
      <c r="A23" s="1340" t="s">
        <v>345</v>
      </c>
      <c r="B23" s="1340"/>
      <c r="C23" s="1340"/>
      <c r="D23" s="1340"/>
    </row>
    <row r="24" spans="1:4" ht="12.75">
      <c r="A24" s="82"/>
      <c r="B24" s="82"/>
      <c r="C24" s="103"/>
      <c r="D24" s="82"/>
    </row>
    <row r="25" spans="1:4" ht="26.25" thickBot="1">
      <c r="A25" s="408" t="s">
        <v>468</v>
      </c>
      <c r="B25" s="451" t="s">
        <v>667</v>
      </c>
      <c r="C25" s="452" t="s">
        <v>673</v>
      </c>
      <c r="D25" s="453" t="s">
        <v>793</v>
      </c>
    </row>
    <row r="26" spans="1:4" ht="16.5" thickBot="1">
      <c r="A26" s="454" t="s">
        <v>913</v>
      </c>
      <c r="B26" s="455"/>
      <c r="C26" s="456"/>
      <c r="D26" s="468"/>
    </row>
    <row r="27" spans="1:4" ht="15">
      <c r="A27" s="389" t="s">
        <v>654</v>
      </c>
      <c r="B27" s="449" t="s">
        <v>656</v>
      </c>
      <c r="C27" s="445" t="s">
        <v>801</v>
      </c>
      <c r="D27" s="393">
        <v>10083.93</v>
      </c>
    </row>
    <row r="28" spans="1:4" ht="15">
      <c r="A28" s="390" t="s">
        <v>13</v>
      </c>
      <c r="B28" s="1078"/>
      <c r="C28" s="543"/>
      <c r="D28" s="618">
        <v>1647.85</v>
      </c>
    </row>
    <row r="29" spans="1:4" ht="15.75" thickBot="1">
      <c r="A29" s="390" t="s">
        <v>210</v>
      </c>
      <c r="B29" s="1078"/>
      <c r="C29" s="543"/>
      <c r="D29" s="618">
        <v>895.39</v>
      </c>
    </row>
    <row r="30" spans="1:4" ht="15.75" thickBot="1">
      <c r="A30" s="805" t="s">
        <v>701</v>
      </c>
      <c r="B30" s="980"/>
      <c r="C30" s="1079"/>
      <c r="D30" s="940">
        <v>12627.17</v>
      </c>
    </row>
    <row r="31" spans="1:4" ht="16.5" thickBot="1">
      <c r="A31" s="460" t="s">
        <v>7</v>
      </c>
      <c r="B31" s="461"/>
      <c r="C31" s="462"/>
      <c r="D31" s="463"/>
    </row>
    <row r="32" spans="1:4" ht="19.5" customHeight="1">
      <c r="A32" s="808" t="s">
        <v>8</v>
      </c>
      <c r="B32" s="433" t="s">
        <v>920</v>
      </c>
      <c r="C32" s="443" t="s">
        <v>673</v>
      </c>
      <c r="D32" s="434" t="s">
        <v>793</v>
      </c>
    </row>
    <row r="33" spans="1:4" ht="15">
      <c r="A33" s="377" t="s">
        <v>324</v>
      </c>
      <c r="B33" s="433"/>
      <c r="C33" s="443">
        <v>1</v>
      </c>
      <c r="D33" s="434">
        <v>1154.46</v>
      </c>
    </row>
    <row r="34" spans="1:4" ht="15">
      <c r="A34" s="377" t="s">
        <v>239</v>
      </c>
      <c r="B34" s="433" t="s">
        <v>40</v>
      </c>
      <c r="C34" s="443">
        <v>1</v>
      </c>
      <c r="D34" s="434">
        <v>538.39</v>
      </c>
    </row>
    <row r="35" spans="1:4" ht="15">
      <c r="A35" s="377" t="s">
        <v>9</v>
      </c>
      <c r="B35" s="433"/>
      <c r="C35" s="443">
        <v>1</v>
      </c>
      <c r="D35" s="434">
        <v>474.47</v>
      </c>
    </row>
    <row r="36" spans="1:4" ht="15.75" thickBot="1">
      <c r="A36" s="799" t="s">
        <v>378</v>
      </c>
      <c r="B36" s="924"/>
      <c r="C36" s="432">
        <v>1</v>
      </c>
      <c r="D36" s="1064">
        <v>25187</v>
      </c>
    </row>
    <row r="37" spans="1:4" ht="15.75" thickBot="1">
      <c r="A37" s="806" t="s">
        <v>701</v>
      </c>
      <c r="B37" s="811"/>
      <c r="C37" s="803"/>
      <c r="D37" s="863">
        <v>27354.32</v>
      </c>
    </row>
    <row r="38" spans="1:4" ht="15">
      <c r="A38" s="808" t="s">
        <v>10</v>
      </c>
      <c r="B38" s="800"/>
      <c r="C38" s="441"/>
      <c r="D38" s="441"/>
    </row>
    <row r="39" spans="1:4" ht="15.75" thickBot="1">
      <c r="A39" s="807" t="s">
        <v>11</v>
      </c>
      <c r="B39" s="758" t="s">
        <v>478</v>
      </c>
      <c r="C39" s="439">
        <v>1</v>
      </c>
      <c r="D39" s="424">
        <v>16527.67</v>
      </c>
    </row>
    <row r="40" spans="1:4" ht="15.75" thickBot="1">
      <c r="A40" s="806" t="s">
        <v>701</v>
      </c>
      <c r="B40" s="825"/>
      <c r="C40" s="1080"/>
      <c r="D40" s="841">
        <v>16527.67</v>
      </c>
    </row>
    <row r="41" spans="1:4" ht="15">
      <c r="A41" s="808" t="s">
        <v>192</v>
      </c>
      <c r="B41" s="1076"/>
      <c r="C41" s="441"/>
      <c r="D41" s="598"/>
    </row>
    <row r="42" spans="1:4" ht="15">
      <c r="A42" s="377" t="s">
        <v>479</v>
      </c>
      <c r="B42" s="1076" t="s">
        <v>52</v>
      </c>
      <c r="C42" s="421">
        <v>4</v>
      </c>
      <c r="D42" s="532">
        <v>712.73</v>
      </c>
    </row>
    <row r="43" spans="1:4" ht="15">
      <c r="A43" s="377" t="s">
        <v>1020</v>
      </c>
      <c r="B43" s="1076" t="s">
        <v>40</v>
      </c>
      <c r="C43" s="421">
        <v>3</v>
      </c>
      <c r="D43" s="532">
        <v>9572.28</v>
      </c>
    </row>
    <row r="44" spans="1:4" ht="15">
      <c r="A44" s="377" t="s">
        <v>774</v>
      </c>
      <c r="B44" s="1076"/>
      <c r="C44" s="421">
        <v>1</v>
      </c>
      <c r="D44" s="532">
        <v>353.14</v>
      </c>
    </row>
    <row r="45" spans="1:4" ht="15.75" thickBot="1">
      <c r="A45" s="938"/>
      <c r="B45" s="1076"/>
      <c r="C45" s="439"/>
      <c r="D45" s="541"/>
    </row>
    <row r="46" spans="1:4" ht="15.75" thickBot="1">
      <c r="A46" s="806" t="s">
        <v>901</v>
      </c>
      <c r="B46" s="666"/>
      <c r="C46" s="1080"/>
      <c r="D46" s="892">
        <v>10638.15</v>
      </c>
    </row>
    <row r="47" spans="1:4" ht="15">
      <c r="A47" s="465" t="s">
        <v>12</v>
      </c>
      <c r="B47" s="757"/>
      <c r="C47" s="900"/>
      <c r="D47" s="877"/>
    </row>
    <row r="48" spans="1:4" ht="15.75" thickBot="1">
      <c r="A48" s="799" t="s">
        <v>773</v>
      </c>
      <c r="B48" s="758" t="s">
        <v>40</v>
      </c>
      <c r="C48" s="435">
        <v>1</v>
      </c>
      <c r="D48" s="439">
        <v>487.23</v>
      </c>
    </row>
    <row r="49" spans="1:4" ht="15">
      <c r="A49" s="879" t="s">
        <v>901</v>
      </c>
      <c r="B49" s="1082"/>
      <c r="C49" s="951"/>
      <c r="D49" s="859">
        <v>487.23</v>
      </c>
    </row>
    <row r="50" spans="1:4" ht="15">
      <c r="A50" s="838"/>
      <c r="B50" s="757"/>
      <c r="C50" s="421"/>
      <c r="D50" s="428"/>
    </row>
    <row r="51" spans="1:4" ht="15">
      <c r="A51" s="1081" t="s">
        <v>458</v>
      </c>
      <c r="B51" s="763"/>
      <c r="C51" s="900"/>
      <c r="D51" s="877">
        <v>55007.37</v>
      </c>
    </row>
    <row r="52" spans="1:4" ht="15">
      <c r="A52" s="465"/>
      <c r="B52" s="757"/>
      <c r="C52" s="427"/>
      <c r="D52" s="428"/>
    </row>
    <row r="53" spans="1:4" ht="15">
      <c r="A53" s="808" t="s">
        <v>453</v>
      </c>
      <c r="B53" s="757"/>
      <c r="C53" s="427"/>
      <c r="D53" s="428">
        <v>3734.01</v>
      </c>
    </row>
    <row r="54" spans="1:4" ht="15">
      <c r="A54" s="465" t="s">
        <v>904</v>
      </c>
      <c r="B54" s="757"/>
      <c r="C54" s="427"/>
      <c r="D54" s="428">
        <v>908</v>
      </c>
    </row>
    <row r="55" spans="1:4" ht="15">
      <c r="A55" s="465" t="s">
        <v>735</v>
      </c>
      <c r="B55" s="757"/>
      <c r="C55" s="427"/>
      <c r="D55" s="428">
        <v>16372.16</v>
      </c>
    </row>
    <row r="56" spans="1:4" ht="15.75" thickBot="1">
      <c r="A56" s="902"/>
      <c r="B56" s="1065"/>
      <c r="C56" s="435"/>
      <c r="D56" s="1077"/>
    </row>
    <row r="57" spans="1:4" ht="15.75" thickBot="1">
      <c r="A57" s="903" t="s">
        <v>918</v>
      </c>
      <c r="B57" s="906"/>
      <c r="C57" s="907"/>
      <c r="D57" s="863">
        <v>88648.71</v>
      </c>
    </row>
    <row r="58" spans="1:4" ht="15">
      <c r="A58" s="1054"/>
      <c r="B58" s="570"/>
      <c r="C58" s="900"/>
      <c r="D58" s="598"/>
    </row>
    <row r="59" spans="1:4" ht="15">
      <c r="A59" s="436"/>
      <c r="B59" s="436"/>
      <c r="C59" s="437"/>
      <c r="D59" s="495"/>
    </row>
    <row r="60" spans="1:4" ht="12.75">
      <c r="A60" s="1353"/>
      <c r="B60" s="1354"/>
      <c r="C60" s="374"/>
      <c r="D60" s="442"/>
    </row>
    <row r="61" spans="1:4" ht="12.75">
      <c r="A61" s="1355"/>
      <c r="B61" s="1356"/>
      <c r="C61" s="559"/>
      <c r="D61" s="559"/>
    </row>
    <row r="62" spans="1:4" ht="15">
      <c r="A62" s="1251" t="s">
        <v>568</v>
      </c>
      <c r="B62" s="1257"/>
      <c r="C62" s="467"/>
      <c r="D62" s="467">
        <v>0</v>
      </c>
    </row>
    <row r="63" spans="1:4" ht="15">
      <c r="A63" s="1332" t="s">
        <v>569</v>
      </c>
      <c r="B63" s="1332"/>
      <c r="C63" s="628"/>
      <c r="D63" s="608">
        <v>35732.49</v>
      </c>
    </row>
    <row r="64" spans="1:4" ht="15">
      <c r="A64" s="1332" t="s">
        <v>570</v>
      </c>
      <c r="B64" s="1332"/>
      <c r="C64" s="607"/>
      <c r="D64" s="608">
        <v>88648.71</v>
      </c>
    </row>
    <row r="65" spans="1:4" ht="15">
      <c r="A65" s="1333" t="s">
        <v>571</v>
      </c>
      <c r="B65" s="1333"/>
      <c r="C65" s="629"/>
      <c r="D65" s="629">
        <v>52916.22</v>
      </c>
    </row>
    <row r="66" spans="1:4" ht="15">
      <c r="A66" s="1332" t="s">
        <v>179</v>
      </c>
      <c r="B66" s="1332"/>
      <c r="C66" s="1258"/>
      <c r="D66" s="630">
        <v>52916.22</v>
      </c>
    </row>
    <row r="67" spans="1:4" ht="15">
      <c r="A67" s="538"/>
      <c r="B67" s="538"/>
      <c r="C67" s="1259"/>
      <c r="D67" s="1260"/>
    </row>
    <row r="68" spans="1:4" ht="15">
      <c r="A68" s="538"/>
      <c r="B68" s="538"/>
      <c r="C68" s="1259"/>
      <c r="D68" s="1260"/>
    </row>
    <row r="69" spans="1:4" ht="15">
      <c r="A69" s="538" t="s">
        <v>181</v>
      </c>
      <c r="B69" s="538"/>
      <c r="C69" s="1259" t="s">
        <v>573</v>
      </c>
      <c r="D69" s="1260"/>
    </row>
    <row r="70" spans="1:4" ht="15">
      <c r="A70" s="538"/>
      <c r="B70" s="538"/>
      <c r="C70" s="1259"/>
      <c r="D70" s="1260"/>
    </row>
    <row r="71" spans="1:4" ht="15">
      <c r="A71" s="538"/>
      <c r="B71" s="538"/>
      <c r="C71" s="1259"/>
      <c r="D71" s="1260"/>
    </row>
    <row r="72" spans="1:4" ht="15">
      <c r="A72" s="1283" t="s">
        <v>574</v>
      </c>
      <c r="B72" s="538"/>
      <c r="C72" s="1259"/>
      <c r="D72" s="1260"/>
    </row>
    <row r="73" ht="12.75">
      <c r="A73" s="1" t="s">
        <v>906</v>
      </c>
    </row>
    <row r="74" ht="12.75">
      <c r="A74" s="735" t="s">
        <v>358</v>
      </c>
    </row>
  </sheetData>
  <sheetProtection/>
  <mergeCells count="25">
    <mergeCell ref="A66:B66"/>
    <mergeCell ref="A60:B61"/>
    <mergeCell ref="A63:B63"/>
    <mergeCell ref="A64:B64"/>
    <mergeCell ref="A65:B65"/>
    <mergeCell ref="C6:D6"/>
    <mergeCell ref="C14:D15"/>
    <mergeCell ref="A16:B16"/>
    <mergeCell ref="C16:D16"/>
    <mergeCell ref="A10:B10"/>
    <mergeCell ref="A12:B12"/>
    <mergeCell ref="A14:B15"/>
    <mergeCell ref="A7:B7"/>
    <mergeCell ref="A8:B8"/>
    <mergeCell ref="A9:B9"/>
    <mergeCell ref="A22:D22"/>
    <mergeCell ref="A17:B17"/>
    <mergeCell ref="C17:D17"/>
    <mergeCell ref="A23:D23"/>
    <mergeCell ref="A18:B18"/>
    <mergeCell ref="C18:D18"/>
    <mergeCell ref="A19:B19"/>
    <mergeCell ref="C19:D19"/>
    <mergeCell ref="A20:B20"/>
    <mergeCell ref="C20:D20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99CC"/>
  </sheetPr>
  <dimension ref="A1:D77"/>
  <sheetViews>
    <sheetView zoomScalePageLayoutView="0" workbookViewId="0" topLeftCell="A12">
      <selection activeCell="C29" sqref="C29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spans="1:4" ht="14.25" hidden="1">
      <c r="A1" s="306" t="s">
        <v>178</v>
      </c>
      <c r="B1" s="305" t="s">
        <v>182</v>
      </c>
      <c r="C1" s="299">
        <v>1</v>
      </c>
      <c r="D1" s="334">
        <v>0</v>
      </c>
    </row>
    <row r="2" spans="1:4" ht="14.25" hidden="1">
      <c r="A2" s="321" t="s">
        <v>82</v>
      </c>
      <c r="B2" s="323" t="s">
        <v>74</v>
      </c>
      <c r="C2" s="177">
        <v>0.412</v>
      </c>
      <c r="D2" s="335">
        <v>0</v>
      </c>
    </row>
    <row r="3" spans="1:4" ht="14.25" hidden="1">
      <c r="A3" s="321" t="s">
        <v>83</v>
      </c>
      <c r="B3" s="323" t="s">
        <v>40</v>
      </c>
      <c r="C3" s="177">
        <v>2</v>
      </c>
      <c r="D3" s="335">
        <v>0</v>
      </c>
    </row>
    <row r="4" spans="1:4" ht="14.25" hidden="1">
      <c r="A4" s="321" t="s">
        <v>84</v>
      </c>
      <c r="B4" s="323" t="s">
        <v>40</v>
      </c>
      <c r="C4" s="177">
        <v>4</v>
      </c>
      <c r="D4" s="335">
        <v>0</v>
      </c>
    </row>
    <row r="5" spans="1:4" ht="14.25" hidden="1">
      <c r="A5" s="302" t="s">
        <v>85</v>
      </c>
      <c r="B5" s="305" t="s">
        <v>40</v>
      </c>
      <c r="C5" s="299">
        <v>7</v>
      </c>
      <c r="D5" s="334">
        <v>0</v>
      </c>
    </row>
    <row r="6" spans="1:4" ht="14.25" hidden="1">
      <c r="A6" s="322" t="s">
        <v>86</v>
      </c>
      <c r="B6" s="323" t="s">
        <v>40</v>
      </c>
      <c r="C6" s="177">
        <v>2</v>
      </c>
      <c r="D6" s="335">
        <v>0</v>
      </c>
    </row>
    <row r="7" spans="1:4" ht="14.25" hidden="1">
      <c r="A7" s="322" t="s">
        <v>87</v>
      </c>
      <c r="B7" s="323" t="s">
        <v>88</v>
      </c>
      <c r="C7" s="177">
        <v>3.144</v>
      </c>
      <c r="D7" s="335">
        <v>0</v>
      </c>
    </row>
    <row r="8" spans="1:4" ht="14.25" hidden="1">
      <c r="A8" s="321" t="s">
        <v>89</v>
      </c>
      <c r="B8" s="323" t="s">
        <v>40</v>
      </c>
      <c r="C8" s="177">
        <v>2</v>
      </c>
      <c r="D8" s="335">
        <v>0</v>
      </c>
    </row>
    <row r="9" spans="1:4" ht="14.25" hidden="1">
      <c r="A9" s="321" t="s">
        <v>95</v>
      </c>
      <c r="B9" s="320" t="s">
        <v>661</v>
      </c>
      <c r="C9" s="177"/>
      <c r="D9" s="336">
        <v>0</v>
      </c>
    </row>
    <row r="10" spans="1:4" ht="14.25" hidden="1">
      <c r="A10" s="331" t="s">
        <v>121</v>
      </c>
      <c r="B10" s="329"/>
      <c r="C10" s="330"/>
      <c r="D10" s="337" t="e">
        <f>1.03*#REF!*12*0</f>
        <v>#REF!</v>
      </c>
    </row>
    <row r="11" spans="1:4" ht="14.25" hidden="1">
      <c r="A11" s="328" t="s">
        <v>98</v>
      </c>
      <c r="B11" s="329" t="s">
        <v>661</v>
      </c>
      <c r="C11" s="330"/>
      <c r="D11" s="338" t="e">
        <f>1.48*#REF!*12*0</f>
        <v>#REF!</v>
      </c>
    </row>
    <row r="12" ht="15.75">
      <c r="A12" s="6"/>
    </row>
    <row r="14" spans="3:4" ht="12.75">
      <c r="C14" s="1364" t="s">
        <v>792</v>
      </c>
      <c r="D14" s="1364"/>
    </row>
    <row r="15" spans="1:4" ht="22.5">
      <c r="A15" s="1365" t="s">
        <v>687</v>
      </c>
      <c r="B15" s="1365"/>
      <c r="C15" s="140"/>
      <c r="D15" s="140"/>
    </row>
    <row r="16" spans="1:4" ht="15.75">
      <c r="A16" s="1363" t="s">
        <v>497</v>
      </c>
      <c r="B16" s="1363"/>
      <c r="C16" s="91"/>
      <c r="D16" s="91"/>
    </row>
    <row r="17" spans="1:4" ht="15.75">
      <c r="A17" s="1363" t="s">
        <v>641</v>
      </c>
      <c r="B17" s="1363"/>
      <c r="C17" s="91"/>
      <c r="D17" s="91"/>
    </row>
    <row r="18" spans="1:4" ht="15.75">
      <c r="A18" s="1363" t="s">
        <v>804</v>
      </c>
      <c r="B18" s="1363"/>
      <c r="C18" s="91"/>
      <c r="D18" s="91"/>
    </row>
    <row r="19" spans="1:3" ht="14.25" customHeight="1">
      <c r="A19" s="417"/>
      <c r="B19" s="417"/>
      <c r="C19"/>
    </row>
    <row r="20" spans="1:4" ht="15">
      <c r="A20" s="1343" t="s">
        <v>218</v>
      </c>
      <c r="B20" s="1343"/>
      <c r="C20" s="139"/>
      <c r="D20" s="139"/>
    </row>
    <row r="21" spans="1:4" ht="12.75">
      <c r="A21" s="4"/>
      <c r="B21"/>
      <c r="C21"/>
      <c r="D21" s="8"/>
    </row>
    <row r="22" spans="1:4" ht="12.75" customHeight="1">
      <c r="A22" s="1353" t="s">
        <v>642</v>
      </c>
      <c r="B22" s="1325"/>
      <c r="C22" s="1366" t="s">
        <v>488</v>
      </c>
      <c r="D22" s="1367"/>
    </row>
    <row r="23" spans="1:4" ht="12.75">
      <c r="A23" s="1326"/>
      <c r="B23" s="1307"/>
      <c r="C23" s="1368"/>
      <c r="D23" s="1369"/>
    </row>
    <row r="24" spans="1:4" ht="15">
      <c r="A24" s="1361" t="s">
        <v>347</v>
      </c>
      <c r="B24" s="1362"/>
      <c r="C24" s="1380">
        <v>6813.85</v>
      </c>
      <c r="D24" s="1381"/>
    </row>
    <row r="25" spans="1:4" ht="14.25">
      <c r="A25" s="1357" t="s">
        <v>486</v>
      </c>
      <c r="B25" s="1358"/>
      <c r="C25" s="1312">
        <v>60954.96</v>
      </c>
      <c r="D25" s="1313"/>
    </row>
    <row r="26" spans="1:4" ht="14.25">
      <c r="A26" s="1359" t="s">
        <v>485</v>
      </c>
      <c r="B26" s="1360"/>
      <c r="C26" s="1375">
        <v>61988.61</v>
      </c>
      <c r="D26" s="1376"/>
    </row>
    <row r="27" spans="1:4" ht="15">
      <c r="A27" s="1361" t="s">
        <v>348</v>
      </c>
      <c r="B27" s="1362"/>
      <c r="C27" s="1377">
        <f>C24+C25-C26</f>
        <v>5780.199999999997</v>
      </c>
      <c r="D27" s="1378"/>
    </row>
    <row r="28" spans="1:4" ht="14.25">
      <c r="A28" s="1351" t="s">
        <v>539</v>
      </c>
      <c r="B28" s="1352"/>
      <c r="C28" s="1377">
        <v>68040.87</v>
      </c>
      <c r="D28" s="1378"/>
    </row>
    <row r="29" spans="1:4" ht="14.25">
      <c r="A29" s="538"/>
      <c r="B29" s="538"/>
      <c r="C29" s="539"/>
      <c r="D29" s="539"/>
    </row>
    <row r="30" spans="1:4" ht="15.75">
      <c r="A30" s="1340" t="s">
        <v>650</v>
      </c>
      <c r="B30" s="1340"/>
      <c r="C30" s="1340"/>
      <c r="D30" s="1340"/>
    </row>
    <row r="31" spans="1:4" ht="15.75">
      <c r="A31" s="1340" t="s">
        <v>345</v>
      </c>
      <c r="B31" s="1340"/>
      <c r="C31" s="1340"/>
      <c r="D31" s="1340"/>
    </row>
    <row r="32" spans="1:4" ht="12.75">
      <c r="A32" s="82"/>
      <c r="B32" s="82"/>
      <c r="C32" s="103"/>
      <c r="D32" s="82"/>
    </row>
    <row r="33" spans="1:4" ht="25.5">
      <c r="A33" s="408" t="s">
        <v>468</v>
      </c>
      <c r="B33" s="451" t="s">
        <v>667</v>
      </c>
      <c r="C33" s="452" t="s">
        <v>673</v>
      </c>
      <c r="D33" s="453" t="s">
        <v>793</v>
      </c>
    </row>
    <row r="34" spans="1:4" ht="15.75">
      <c r="A34" s="1094" t="s">
        <v>913</v>
      </c>
      <c r="B34" s="1091"/>
      <c r="C34" s="1092"/>
      <c r="D34" s="1095"/>
    </row>
    <row r="35" spans="1:4" ht="15.75">
      <c r="A35" s="1090" t="s">
        <v>13</v>
      </c>
      <c r="B35" s="1091"/>
      <c r="C35" s="1092"/>
      <c r="D35" s="1093">
        <v>12918.55</v>
      </c>
    </row>
    <row r="36" spans="1:4" ht="15.75">
      <c r="A36" s="1090" t="s">
        <v>105</v>
      </c>
      <c r="B36" s="1091"/>
      <c r="C36" s="1092"/>
      <c r="D36" s="1093">
        <v>16694.96</v>
      </c>
    </row>
    <row r="37" spans="1:4" ht="15">
      <c r="A37" s="389" t="s">
        <v>654</v>
      </c>
      <c r="B37" s="449" t="s">
        <v>656</v>
      </c>
      <c r="C37" s="445" t="s">
        <v>801</v>
      </c>
      <c r="D37" s="393">
        <v>9781.29</v>
      </c>
    </row>
    <row r="38" spans="1:4" ht="15.75" thickBot="1">
      <c r="A38" s="390" t="s">
        <v>210</v>
      </c>
      <c r="B38" s="457" t="s">
        <v>817</v>
      </c>
      <c r="C38" s="543" t="s">
        <v>801</v>
      </c>
      <c r="D38" s="459">
        <v>868.52</v>
      </c>
    </row>
    <row r="39" spans="1:4" ht="15.75" thickBot="1">
      <c r="A39" s="805" t="s">
        <v>1014</v>
      </c>
      <c r="B39" s="870"/>
      <c r="C39" s="1088"/>
      <c r="D39" s="939">
        <v>40263.32</v>
      </c>
    </row>
    <row r="40" spans="1:4" ht="16.5" thickBot="1">
      <c r="A40" s="460" t="s">
        <v>914</v>
      </c>
      <c r="B40" s="461"/>
      <c r="C40" s="462"/>
      <c r="D40" s="463"/>
    </row>
    <row r="41" spans="1:4" ht="24">
      <c r="A41" s="525" t="s">
        <v>194</v>
      </c>
      <c r="B41" s="433" t="s">
        <v>920</v>
      </c>
      <c r="C41" s="443" t="s">
        <v>673</v>
      </c>
      <c r="D41" s="444" t="s">
        <v>793</v>
      </c>
    </row>
    <row r="42" spans="1:4" ht="15">
      <c r="A42" s="377" t="s">
        <v>11</v>
      </c>
      <c r="B42" s="358"/>
      <c r="C42" s="421"/>
      <c r="D42" s="421">
        <v>1598.4</v>
      </c>
    </row>
    <row r="43" spans="1:4" ht="16.5" thickBot="1">
      <c r="A43" s="833"/>
      <c r="B43" s="873"/>
      <c r="C43" s="616"/>
      <c r="D43" s="439"/>
    </row>
    <row r="44" spans="1:4" ht="15.75" thickBot="1">
      <c r="A44" s="805" t="s">
        <v>701</v>
      </c>
      <c r="B44" s="817"/>
      <c r="C44" s="1020"/>
      <c r="D44" s="940">
        <v>1598.55</v>
      </c>
    </row>
    <row r="45" spans="1:4" ht="15">
      <c r="A45" s="465" t="s">
        <v>776</v>
      </c>
      <c r="B45" s="800"/>
      <c r="C45" s="441"/>
      <c r="D45" s="441"/>
    </row>
    <row r="46" spans="1:4" ht="15.75">
      <c r="A46" s="554" t="s">
        <v>704</v>
      </c>
      <c r="B46" s="365" t="s">
        <v>40</v>
      </c>
      <c r="C46" s="380">
        <v>1</v>
      </c>
      <c r="D46" s="532">
        <v>317.82</v>
      </c>
    </row>
    <row r="47" spans="1:4" ht="16.5" thickBot="1">
      <c r="A47" s="827" t="s">
        <v>393</v>
      </c>
      <c r="B47" s="758"/>
      <c r="C47" s="807">
        <v>2</v>
      </c>
      <c r="D47" s="541">
        <v>920.83</v>
      </c>
    </row>
    <row r="48" spans="1:4" ht="16.5" thickBot="1">
      <c r="A48" s="829" t="s">
        <v>701</v>
      </c>
      <c r="B48" s="811"/>
      <c r="C48" s="1013"/>
      <c r="D48" s="858">
        <v>1238.65</v>
      </c>
    </row>
    <row r="49" spans="1:4" ht="15.75">
      <c r="A49" s="1086" t="s">
        <v>777</v>
      </c>
      <c r="B49" s="834"/>
      <c r="C49" s="799"/>
      <c r="D49" s="835"/>
    </row>
    <row r="50" spans="1:4" ht="16.5" thickBot="1">
      <c r="A50" s="827" t="s">
        <v>886</v>
      </c>
      <c r="B50" s="758" t="s">
        <v>40</v>
      </c>
      <c r="C50" s="807">
        <v>1</v>
      </c>
      <c r="D50" s="541">
        <v>406.2</v>
      </c>
    </row>
    <row r="51" spans="1:4" ht="16.5" thickBot="1">
      <c r="A51" s="829" t="s">
        <v>701</v>
      </c>
      <c r="B51" s="830"/>
      <c r="C51" s="1087"/>
      <c r="D51" s="858">
        <v>406.2</v>
      </c>
    </row>
    <row r="52" spans="1:4" ht="15.75">
      <c r="A52" s="845"/>
      <c r="B52" s="758"/>
      <c r="C52" s="799"/>
      <c r="D52" s="835"/>
    </row>
    <row r="53" spans="1:4" ht="16.5" thickBot="1">
      <c r="A53" s="827"/>
      <c r="B53" s="758"/>
      <c r="C53" s="807"/>
      <c r="D53" s="541"/>
    </row>
    <row r="54" spans="1:4" ht="16.5" thickBot="1">
      <c r="A54" s="829" t="s">
        <v>458</v>
      </c>
      <c r="B54" s="811"/>
      <c r="C54" s="1013"/>
      <c r="D54" s="858">
        <v>3243.4</v>
      </c>
    </row>
    <row r="55" spans="1:4" ht="15.75">
      <c r="A55" s="542"/>
      <c r="B55" s="570"/>
      <c r="C55" s="377"/>
      <c r="D55" s="598"/>
    </row>
    <row r="56" spans="1:4" ht="15">
      <c r="A56" s="1083" t="s">
        <v>453</v>
      </c>
      <c r="B56" s="747"/>
      <c r="C56" s="508"/>
      <c r="D56" s="1084">
        <v>3621.94</v>
      </c>
    </row>
    <row r="57" spans="1:4" ht="15.75">
      <c r="A57" s="1056" t="s">
        <v>904</v>
      </c>
      <c r="B57" s="365"/>
      <c r="C57" s="480"/>
      <c r="D57" s="869">
        <v>8346.03</v>
      </c>
    </row>
    <row r="58" spans="1:4" ht="15.75">
      <c r="A58" s="1056" t="s">
        <v>775</v>
      </c>
      <c r="B58" s="366"/>
      <c r="C58" s="480"/>
      <c r="D58" s="428">
        <v>12566.18</v>
      </c>
    </row>
    <row r="59" spans="1:4" ht="16.5" thickBot="1">
      <c r="A59" s="1085"/>
      <c r="B59" s="1072"/>
      <c r="C59" s="1069"/>
      <c r="D59" s="439"/>
    </row>
    <row r="60" spans="1:4" ht="15.75" thickBot="1">
      <c r="A60" s="806" t="s">
        <v>918</v>
      </c>
      <c r="B60" s="957"/>
      <c r="C60" s="803"/>
      <c r="D60" s="892">
        <v>68040.87</v>
      </c>
    </row>
    <row r="61" spans="1:4" ht="15">
      <c r="A61" s="196"/>
      <c r="B61" s="196"/>
      <c r="C61" s="429"/>
      <c r="D61" s="430"/>
    </row>
    <row r="62" spans="1:4" ht="12.75">
      <c r="A62" s="1353"/>
      <c r="B62" s="1354"/>
      <c r="C62" s="374"/>
      <c r="D62" s="442"/>
    </row>
    <row r="63" spans="1:4" ht="12.75">
      <c r="A63" s="1355"/>
      <c r="B63" s="1356"/>
      <c r="C63" s="559"/>
      <c r="D63" s="559"/>
    </row>
    <row r="64" spans="1:4" ht="15">
      <c r="A64" s="1251" t="s">
        <v>568</v>
      </c>
      <c r="B64" s="1257"/>
      <c r="C64" s="467"/>
      <c r="D64" s="467">
        <v>0</v>
      </c>
    </row>
    <row r="65" spans="1:4" ht="15">
      <c r="A65" s="1332" t="s">
        <v>569</v>
      </c>
      <c r="B65" s="1332"/>
      <c r="C65" s="628"/>
      <c r="D65" s="608">
        <v>61988.61</v>
      </c>
    </row>
    <row r="66" spans="1:4" ht="15">
      <c r="A66" s="1332" t="s">
        <v>570</v>
      </c>
      <c r="B66" s="1332"/>
      <c r="C66" s="607"/>
      <c r="D66" s="608">
        <v>68040.87</v>
      </c>
    </row>
    <row r="67" spans="1:4" ht="15">
      <c r="A67" s="1333" t="s">
        <v>571</v>
      </c>
      <c r="B67" s="1333"/>
      <c r="C67" s="629"/>
      <c r="D67" s="629">
        <v>6052.26</v>
      </c>
    </row>
    <row r="68" spans="1:4" ht="15">
      <c r="A68" s="1332" t="s">
        <v>179</v>
      </c>
      <c r="B68" s="1332"/>
      <c r="C68" s="1258"/>
      <c r="D68" s="630">
        <v>6052.26</v>
      </c>
    </row>
    <row r="72" spans="1:3" ht="12.75">
      <c r="A72" s="1" t="s">
        <v>180</v>
      </c>
      <c r="C72" s="1" t="s">
        <v>573</v>
      </c>
    </row>
    <row r="75" ht="12.75">
      <c r="A75" s="735" t="s">
        <v>357</v>
      </c>
    </row>
    <row r="76" ht="12.75">
      <c r="A76" s="735" t="s">
        <v>906</v>
      </c>
    </row>
    <row r="77" ht="12.75">
      <c r="A77" s="735" t="s">
        <v>358</v>
      </c>
    </row>
  </sheetData>
  <sheetProtection/>
  <mergeCells count="25">
    <mergeCell ref="A68:B68"/>
    <mergeCell ref="A62:B63"/>
    <mergeCell ref="A65:B65"/>
    <mergeCell ref="A66:B66"/>
    <mergeCell ref="A67:B67"/>
    <mergeCell ref="A25:B25"/>
    <mergeCell ref="C25:D25"/>
    <mergeCell ref="C14:D14"/>
    <mergeCell ref="A15:B15"/>
    <mergeCell ref="A16:B16"/>
    <mergeCell ref="A17:B17"/>
    <mergeCell ref="A18:B18"/>
    <mergeCell ref="A20:B20"/>
    <mergeCell ref="A22:B23"/>
    <mergeCell ref="C22:D23"/>
    <mergeCell ref="A24:B24"/>
    <mergeCell ref="C24:D24"/>
    <mergeCell ref="A30:D30"/>
    <mergeCell ref="A31:D31"/>
    <mergeCell ref="A26:B26"/>
    <mergeCell ref="C26:D26"/>
    <mergeCell ref="A27:B27"/>
    <mergeCell ref="C27:D27"/>
    <mergeCell ref="A28:B28"/>
    <mergeCell ref="C28:D28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21">
      <selection activeCell="D49" sqref="D49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981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850.67+72783.02</f>
        <v>73633.69</v>
      </c>
      <c r="D11" s="136">
        <v>14630.25</v>
      </c>
    </row>
    <row r="12" spans="1:4" ht="15.75" thickBot="1">
      <c r="A12" s="1341" t="s">
        <v>646</v>
      </c>
      <c r="B12" s="1342"/>
      <c r="C12" s="137">
        <f>4264+592348.8</f>
        <v>596612.8</v>
      </c>
      <c r="D12" s="136">
        <v>32908.44</v>
      </c>
    </row>
    <row r="13" spans="1:4" ht="15.75" thickBot="1">
      <c r="A13" s="1341" t="s">
        <v>647</v>
      </c>
      <c r="B13" s="1342"/>
      <c r="C13" s="135">
        <f>4873.71+574531.23</f>
        <v>579404.94</v>
      </c>
      <c r="D13" s="136">
        <v>44545.7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90841.55000000005</v>
      </c>
      <c r="D15" s="136">
        <f>D11+D12-D13</f>
        <v>2992.9900000000052</v>
      </c>
    </row>
    <row r="16" spans="1:4" ht="15.75" thickBot="1">
      <c r="A16" s="1341" t="s">
        <v>806</v>
      </c>
      <c r="B16" s="1342"/>
      <c r="C16" s="170">
        <f>D22+D47</f>
        <v>504618.15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D23+D24+D25+D26+D27+D29+D28</f>
        <v>307534.99000000005</v>
      </c>
    </row>
    <row r="23" spans="1:4" ht="26.25" thickBot="1">
      <c r="A23" s="166" t="s">
        <v>662</v>
      </c>
      <c r="B23" s="64" t="s">
        <v>652</v>
      </c>
      <c r="C23" s="45"/>
      <c r="D23" s="171">
        <v>102478.94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97600.34</v>
      </c>
    </row>
    <row r="25" spans="1:4" ht="25.5" thickBot="1">
      <c r="A25" s="133" t="s">
        <v>658</v>
      </c>
      <c r="B25" s="168" t="s">
        <v>657</v>
      </c>
      <c r="C25" s="145"/>
      <c r="D25" s="171">
        <v>84033.24</v>
      </c>
    </row>
    <row r="26" spans="1:4" ht="15.75" thickBot="1">
      <c r="A26" s="133" t="s">
        <v>799</v>
      </c>
      <c r="B26" s="181" t="s">
        <v>661</v>
      </c>
      <c r="C26" s="182"/>
      <c r="D26" s="183">
        <v>340.3</v>
      </c>
    </row>
    <row r="27" spans="1:4" ht="15.75" thickBot="1">
      <c r="A27" s="133" t="s">
        <v>879</v>
      </c>
      <c r="B27" s="181" t="s">
        <v>661</v>
      </c>
      <c r="C27" s="182"/>
      <c r="D27" s="183">
        <v>1039.37</v>
      </c>
    </row>
    <row r="28" spans="1:4" ht="15.75" thickBot="1">
      <c r="A28" s="189" t="s">
        <v>931</v>
      </c>
      <c r="B28" s="181" t="s">
        <v>661</v>
      </c>
      <c r="C28" s="182"/>
      <c r="D28" s="183">
        <v>2275.59</v>
      </c>
    </row>
    <row r="29" spans="1:4" ht="15.75" thickBot="1">
      <c r="A29" s="147" t="s">
        <v>685</v>
      </c>
      <c r="B29" s="184" t="s">
        <v>817</v>
      </c>
      <c r="C29" s="45" t="s">
        <v>801</v>
      </c>
      <c r="D29" s="186">
        <v>19767.21</v>
      </c>
    </row>
    <row r="30" spans="1:4" ht="15.75" thickBot="1">
      <c r="A30" s="148" t="s">
        <v>760</v>
      </c>
      <c r="B30" s="149"/>
      <c r="C30" s="139"/>
      <c r="D30" s="175">
        <f>D32+D33+D34+D35+D37+D38+D39+D40+D42+D43+D44+D45</f>
        <v>197083.15999999997</v>
      </c>
    </row>
    <row r="31" spans="1:4" ht="24.75" thickBot="1">
      <c r="A31" s="150" t="s">
        <v>672</v>
      </c>
      <c r="B31" s="15" t="s">
        <v>920</v>
      </c>
      <c r="C31" s="49" t="s">
        <v>673</v>
      </c>
      <c r="D31" s="176" t="s">
        <v>793</v>
      </c>
    </row>
    <row r="32" spans="1:4" ht="14.25">
      <c r="A32" s="156" t="s">
        <v>816</v>
      </c>
      <c r="B32" s="74" t="s">
        <v>661</v>
      </c>
      <c r="C32" s="153"/>
      <c r="D32" s="177">
        <f>15550.9+392.67</f>
        <v>15943.57</v>
      </c>
    </row>
    <row r="33" spans="1:4" ht="14.25">
      <c r="A33" s="188" t="s">
        <v>928</v>
      </c>
      <c r="B33" s="74" t="s">
        <v>661</v>
      </c>
      <c r="C33" s="153"/>
      <c r="D33" s="177">
        <f>6099+2250+6010</f>
        <v>14359</v>
      </c>
    </row>
    <row r="34" spans="1:4" ht="14.25">
      <c r="A34" s="188" t="s">
        <v>930</v>
      </c>
      <c r="B34" s="74" t="s">
        <v>661</v>
      </c>
      <c r="C34" s="153"/>
      <c r="D34" s="177">
        <f>1622.93+11598.28</f>
        <v>13221.210000000001</v>
      </c>
    </row>
    <row r="35" spans="1:4" ht="14.25">
      <c r="A35" s="188" t="s">
        <v>989</v>
      </c>
      <c r="B35" s="74" t="s">
        <v>661</v>
      </c>
      <c r="C35" s="153"/>
      <c r="D35" s="177">
        <v>22052.5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f>12265.76</f>
        <v>12265.76</v>
      </c>
    </row>
    <row r="38" spans="1:4" ht="14.25">
      <c r="A38" s="132" t="s">
        <v>883</v>
      </c>
      <c r="B38" s="74" t="s">
        <v>661</v>
      </c>
      <c r="C38" s="153"/>
      <c r="D38" s="179">
        <f>32782.48+8301.23</f>
        <v>41083.71000000001</v>
      </c>
    </row>
    <row r="39" spans="1:4" ht="14.25">
      <c r="A39" s="157" t="s">
        <v>880</v>
      </c>
      <c r="B39" s="74" t="s">
        <v>661</v>
      </c>
      <c r="C39" s="153"/>
      <c r="D39" s="179">
        <f>4098.55</f>
        <v>4098.55</v>
      </c>
    </row>
    <row r="40" spans="1:4" ht="14.25">
      <c r="A40" s="157" t="s">
        <v>925</v>
      </c>
      <c r="B40" s="74" t="s">
        <v>661</v>
      </c>
      <c r="C40" s="153"/>
      <c r="D40" s="180">
        <f>53839.2</f>
        <v>53839.2</v>
      </c>
    </row>
    <row r="41" spans="1:4" ht="15">
      <c r="A41" s="151" t="s">
        <v>682</v>
      </c>
      <c r="B41" s="118"/>
      <c r="C41" s="153"/>
      <c r="D41" s="191"/>
    </row>
    <row r="42" spans="1:4" ht="14.25">
      <c r="A42" s="159" t="s">
        <v>884</v>
      </c>
      <c r="B42" s="74" t="s">
        <v>661</v>
      </c>
      <c r="C42" s="153"/>
      <c r="D42" s="192">
        <v>5506.58</v>
      </c>
    </row>
    <row r="43" spans="1:4" ht="14.25">
      <c r="A43" s="159" t="s">
        <v>886</v>
      </c>
      <c r="B43" s="74" t="s">
        <v>661</v>
      </c>
      <c r="C43" s="153"/>
      <c r="D43" s="192">
        <v>548.58</v>
      </c>
    </row>
    <row r="44" spans="1:4" ht="14.25">
      <c r="A44" s="159" t="s">
        <v>888</v>
      </c>
      <c r="B44" s="74" t="s">
        <v>661</v>
      </c>
      <c r="C44" s="153"/>
      <c r="D44" s="192">
        <f>551.68+1750.73+672.6+9875.29</f>
        <v>12850.300000000001</v>
      </c>
    </row>
    <row r="45" spans="1:4" ht="14.25">
      <c r="A45" s="159" t="s">
        <v>929</v>
      </c>
      <c r="B45" s="74" t="s">
        <v>661</v>
      </c>
      <c r="C45" s="152"/>
      <c r="D45" s="192">
        <v>1314.2</v>
      </c>
    </row>
    <row r="46" spans="1:4" ht="14.25" hidden="1">
      <c r="A46" s="157"/>
      <c r="B46" s="153"/>
      <c r="C46" s="152"/>
      <c r="D46" s="160"/>
    </row>
    <row r="47" spans="1:4" ht="15" hidden="1">
      <c r="A47" s="162" t="s">
        <v>821</v>
      </c>
      <c r="B47" s="163"/>
      <c r="C47" s="164"/>
      <c r="D47" s="165">
        <f>SUM(D32:D46)</f>
        <v>197083.15999999997</v>
      </c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3" ht="15.75">
      <c r="A52" s="187" t="s">
        <v>921</v>
      </c>
      <c r="B52" s="187"/>
      <c r="C52" s="187" t="s">
        <v>889</v>
      </c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9" ht="15.75">
      <c r="A59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7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986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96.8+66795.61</f>
        <v>66892.41</v>
      </c>
      <c r="D11" s="136">
        <v>14522.31</v>
      </c>
    </row>
    <row r="12" spans="1:4" ht="15.75" thickBot="1">
      <c r="A12" s="1341" t="s">
        <v>646</v>
      </c>
      <c r="B12" s="1342"/>
      <c r="C12" s="137">
        <f>883.52+567261</f>
        <v>568144.52</v>
      </c>
      <c r="D12" s="136">
        <v>27968.28</v>
      </c>
    </row>
    <row r="13" spans="1:4" ht="15.75" thickBot="1">
      <c r="A13" s="1341" t="s">
        <v>647</v>
      </c>
      <c r="B13" s="1342"/>
      <c r="C13" s="135">
        <f>980.32+539991.01</f>
        <v>540971.33</v>
      </c>
      <c r="D13" s="136">
        <v>36601.47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46728.48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94065.6000000001</v>
      </c>
      <c r="D17" s="136">
        <f>D11+D12-D13</f>
        <v>5889.119999999995</v>
      </c>
    </row>
    <row r="18" spans="1:4" ht="15.75" thickBot="1">
      <c r="A18" s="1341" t="s">
        <v>806</v>
      </c>
      <c r="B18" s="1342"/>
      <c r="C18" s="170">
        <f>D24+D44</f>
        <v>499558.67</v>
      </c>
      <c r="D18" s="138"/>
    </row>
    <row r="19" spans="2:3" ht="12.75">
      <c r="B19" s="83"/>
      <c r="C19" s="81">
        <f>499558.67-C18</f>
        <v>0</v>
      </c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</f>
        <v>326674.00999999995</v>
      </c>
    </row>
    <row r="25" spans="1:4" ht="26.25" thickBot="1">
      <c r="A25" s="166" t="s">
        <v>662</v>
      </c>
      <c r="B25" s="64" t="s">
        <v>652</v>
      </c>
      <c r="C25" s="45"/>
      <c r="D25" s="171">
        <v>121214.76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90730.6</v>
      </c>
    </row>
    <row r="27" spans="1:4" ht="25.5" thickBot="1">
      <c r="A27" s="133" t="s">
        <v>658</v>
      </c>
      <c r="B27" s="168" t="s">
        <v>657</v>
      </c>
      <c r="C27" s="145"/>
      <c r="D27" s="171">
        <v>89869.98</v>
      </c>
    </row>
    <row r="28" spans="1:4" ht="15.75" thickBot="1">
      <c r="A28" s="133" t="s">
        <v>799</v>
      </c>
      <c r="B28" s="181" t="s">
        <v>661</v>
      </c>
      <c r="C28" s="182"/>
      <c r="D28" s="183">
        <v>5502.24</v>
      </c>
    </row>
    <row r="29" spans="1:4" ht="15.75" thickBot="1">
      <c r="A29" s="147" t="s">
        <v>685</v>
      </c>
      <c r="B29" s="184" t="s">
        <v>817</v>
      </c>
      <c r="C29" s="45" t="s">
        <v>801</v>
      </c>
      <c r="D29" s="186">
        <v>19356.43</v>
      </c>
    </row>
    <row r="30" spans="1:4" ht="15.75" thickBot="1">
      <c r="A30" s="148" t="s">
        <v>760</v>
      </c>
      <c r="B30" s="149"/>
      <c r="C30" s="139"/>
      <c r="D30" s="194">
        <f>D32+D33+D34+D36+D37+D38+D40+D41+D42</f>
        <v>172884.66000000003</v>
      </c>
    </row>
    <row r="31" spans="1:4" ht="24.75" thickBot="1">
      <c r="A31" s="150" t="s">
        <v>672</v>
      </c>
      <c r="B31" s="15" t="s">
        <v>920</v>
      </c>
      <c r="C31" s="49" t="s">
        <v>673</v>
      </c>
      <c r="D31" s="176" t="s">
        <v>793</v>
      </c>
    </row>
    <row r="32" spans="1:4" ht="14.25">
      <c r="A32" s="156" t="s">
        <v>816</v>
      </c>
      <c r="B32" s="115" t="s">
        <v>661</v>
      </c>
      <c r="C32" s="153"/>
      <c r="D32" s="177">
        <v>472.97</v>
      </c>
    </row>
    <row r="33" spans="1:4" ht="14.25">
      <c r="A33" s="188" t="s">
        <v>928</v>
      </c>
      <c r="B33" s="115" t="s">
        <v>661</v>
      </c>
      <c r="C33" s="153"/>
      <c r="D33" s="177">
        <f>10993.35</f>
        <v>10993.35</v>
      </c>
    </row>
    <row r="34" spans="1:4" ht="14.25">
      <c r="A34" s="188" t="s">
        <v>930</v>
      </c>
      <c r="B34" s="115" t="s">
        <v>661</v>
      </c>
      <c r="C34" s="153"/>
      <c r="D34" s="177">
        <v>103066</v>
      </c>
    </row>
    <row r="35" spans="1:4" ht="14.25">
      <c r="A35" s="151" t="s">
        <v>676</v>
      </c>
      <c r="B35" s="116"/>
      <c r="C35" s="153"/>
      <c r="D35" s="177"/>
    </row>
    <row r="36" spans="1:4" ht="14.25">
      <c r="A36" s="157" t="s">
        <v>815</v>
      </c>
      <c r="B36" s="115" t="s">
        <v>661</v>
      </c>
      <c r="C36" s="153"/>
      <c r="D36" s="178">
        <v>443.96</v>
      </c>
    </row>
    <row r="37" spans="1:4" ht="14.25">
      <c r="A37" s="132" t="s">
        <v>883</v>
      </c>
      <c r="B37" s="115" t="s">
        <v>661</v>
      </c>
      <c r="C37" s="153"/>
      <c r="D37" s="179">
        <v>44070.75</v>
      </c>
    </row>
    <row r="38" spans="1:4" ht="14.25">
      <c r="A38" s="157" t="s">
        <v>925</v>
      </c>
      <c r="B38" s="115" t="s">
        <v>661</v>
      </c>
      <c r="C38" s="153"/>
      <c r="D38" s="180">
        <v>5487.21</v>
      </c>
    </row>
    <row r="39" spans="1:4" ht="15">
      <c r="A39" s="151" t="s">
        <v>682</v>
      </c>
      <c r="B39" s="118"/>
      <c r="C39" s="153"/>
      <c r="D39" s="191"/>
    </row>
    <row r="40" spans="1:4" ht="14.25">
      <c r="A40" s="159" t="s">
        <v>884</v>
      </c>
      <c r="B40" s="115" t="s">
        <v>661</v>
      </c>
      <c r="C40" s="153"/>
      <c r="D40" s="192">
        <v>6553.92</v>
      </c>
    </row>
    <row r="41" spans="1:4" ht="14.25">
      <c r="A41" s="159" t="s">
        <v>888</v>
      </c>
      <c r="B41" s="115" t="s">
        <v>661</v>
      </c>
      <c r="C41" s="153"/>
      <c r="D41" s="192">
        <f>248.64+260.97</f>
        <v>509.61</v>
      </c>
    </row>
    <row r="42" spans="1:4" ht="14.25">
      <c r="A42" s="159" t="s">
        <v>929</v>
      </c>
      <c r="B42" s="115" t="s">
        <v>661</v>
      </c>
      <c r="C42" s="152"/>
      <c r="D42" s="192">
        <v>1286.89</v>
      </c>
    </row>
    <row r="43" spans="1:4" ht="14.25" hidden="1">
      <c r="A43" s="157"/>
      <c r="B43" s="153"/>
      <c r="C43" s="152"/>
      <c r="D43" s="160"/>
    </row>
    <row r="44" spans="1:4" ht="15" hidden="1">
      <c r="A44" s="162" t="s">
        <v>821</v>
      </c>
      <c r="B44" s="163"/>
      <c r="C44" s="164"/>
      <c r="D44" s="165">
        <f>SUM(D32:D43)</f>
        <v>172884.66000000003</v>
      </c>
    </row>
    <row r="45" spans="1:4" ht="15">
      <c r="A45" s="71"/>
      <c r="B45" s="11"/>
      <c r="C45" s="11"/>
      <c r="D45" s="11"/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4" ht="15">
      <c r="A48" s="71"/>
      <c r="B48" s="11"/>
      <c r="C48" s="11"/>
      <c r="D48" s="11"/>
    </row>
    <row r="49" spans="1:3" ht="15.75">
      <c r="A49" s="187" t="s">
        <v>921</v>
      </c>
      <c r="B49" s="187"/>
      <c r="C49" s="187" t="s">
        <v>889</v>
      </c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6" ht="15.75">
      <c r="A56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99CC"/>
  </sheetPr>
  <dimension ref="A3:G8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0" style="0" hidden="1" customWidth="1"/>
    <col min="7" max="7" width="10.28125" style="0" customWidth="1"/>
  </cols>
  <sheetData>
    <row r="1" ht="12.75"/>
    <row r="2" ht="12.75"/>
    <row r="3" spans="3:4" ht="12.75">
      <c r="C3" s="1382" t="s">
        <v>792</v>
      </c>
      <c r="D3" s="1382"/>
    </row>
    <row r="4" spans="1:4" ht="22.5">
      <c r="A4" s="1365" t="s">
        <v>687</v>
      </c>
      <c r="B4" s="1365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3.5" customHeight="1">
      <c r="A8" s="417"/>
      <c r="B8" s="417"/>
      <c r="C8"/>
    </row>
    <row r="9" spans="1:4" ht="16.5" customHeight="1">
      <c r="A9" s="1343" t="s">
        <v>217</v>
      </c>
      <c r="B9" s="1343"/>
      <c r="C9" s="139"/>
      <c r="D9" s="139"/>
    </row>
    <row r="10" spans="1:4" ht="12.75">
      <c r="A10" s="4"/>
      <c r="B10"/>
      <c r="C10"/>
      <c r="D10" s="8"/>
    </row>
    <row r="11" spans="1:4" ht="12.75">
      <c r="A11" s="1353" t="s">
        <v>642</v>
      </c>
      <c r="B11" s="1325"/>
      <c r="C11" s="1366" t="s">
        <v>488</v>
      </c>
      <c r="D11" s="1367"/>
    </row>
    <row r="12" spans="1:4" ht="12.75">
      <c r="A12" s="1326"/>
      <c r="B12" s="1307"/>
      <c r="C12" s="1368"/>
      <c r="D12" s="1369"/>
    </row>
    <row r="13" spans="1:4" ht="15">
      <c r="A13" s="1361" t="s">
        <v>347</v>
      </c>
      <c r="B13" s="1362"/>
      <c r="C13" s="1383">
        <v>117888.09</v>
      </c>
      <c r="D13" s="1384"/>
    </row>
    <row r="14" spans="1:4" ht="15">
      <c r="A14" s="1357" t="s">
        <v>486</v>
      </c>
      <c r="B14" s="1358"/>
      <c r="C14" s="1338">
        <v>616844.4</v>
      </c>
      <c r="D14" s="1339"/>
    </row>
    <row r="15" spans="1:4" ht="15">
      <c r="A15" s="1359" t="s">
        <v>485</v>
      </c>
      <c r="B15" s="1360"/>
      <c r="C15" s="1316">
        <v>628171</v>
      </c>
      <c r="D15" s="1317"/>
    </row>
    <row r="16" spans="1:4" ht="15">
      <c r="A16" s="1361" t="s">
        <v>348</v>
      </c>
      <c r="B16" s="1362"/>
      <c r="C16" s="1318">
        <f>C13+C14-C15</f>
        <v>106561.48999999999</v>
      </c>
      <c r="D16" s="1319"/>
    </row>
    <row r="17" spans="1:4" ht="14.25">
      <c r="A17" s="1351" t="s">
        <v>37</v>
      </c>
      <c r="B17" s="1352"/>
      <c r="C17" s="1318">
        <v>465345.82</v>
      </c>
      <c r="D17" s="1319"/>
    </row>
    <row r="18" spans="1:4" ht="14.25">
      <c r="A18" s="538"/>
      <c r="B18" s="538"/>
      <c r="C18" s="539"/>
      <c r="D18" s="539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345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39" thickBot="1">
      <c r="A22" s="408" t="s">
        <v>468</v>
      </c>
      <c r="B22" s="451" t="s">
        <v>667</v>
      </c>
      <c r="C22" s="452" t="s">
        <v>673</v>
      </c>
      <c r="D22" s="453" t="s">
        <v>793</v>
      </c>
    </row>
    <row r="23" spans="1:4" ht="16.5" thickBot="1">
      <c r="A23" s="454" t="s">
        <v>913</v>
      </c>
      <c r="B23" s="455"/>
      <c r="C23" s="456"/>
      <c r="D23" s="468"/>
    </row>
    <row r="24" spans="1:4" ht="24.75" customHeight="1">
      <c r="A24" s="537" t="s">
        <v>105</v>
      </c>
      <c r="B24" s="446" t="s">
        <v>652</v>
      </c>
      <c r="C24" s="395"/>
      <c r="D24" s="396">
        <v>114594.45</v>
      </c>
    </row>
    <row r="25" spans="1:4" ht="15">
      <c r="A25" s="389" t="s">
        <v>654</v>
      </c>
      <c r="B25" s="449" t="s">
        <v>656</v>
      </c>
      <c r="C25" s="445" t="s">
        <v>801</v>
      </c>
      <c r="D25" s="393">
        <v>67138.91</v>
      </c>
    </row>
    <row r="26" spans="1:7" ht="24">
      <c r="A26" s="389" t="s">
        <v>14</v>
      </c>
      <c r="B26" s="399" t="s">
        <v>657</v>
      </c>
      <c r="C26" s="508"/>
      <c r="D26" s="393">
        <v>83932.34</v>
      </c>
      <c r="G26" s="111"/>
    </row>
    <row r="27" spans="1:4" ht="15">
      <c r="A27" s="537" t="s">
        <v>779</v>
      </c>
      <c r="B27" s="450"/>
      <c r="C27" s="404"/>
      <c r="D27" s="396">
        <v>10016.02</v>
      </c>
    </row>
    <row r="28" spans="1:4" ht="15.75" thickBot="1">
      <c r="A28" s="390" t="s">
        <v>210</v>
      </c>
      <c r="B28" s="1099"/>
      <c r="C28" s="617"/>
      <c r="D28" s="618">
        <v>5961.5</v>
      </c>
    </row>
    <row r="29" spans="1:4" ht="15.75" thickBot="1">
      <c r="A29" s="805" t="s">
        <v>701</v>
      </c>
      <c r="B29" s="980"/>
      <c r="C29" s="796"/>
      <c r="D29" s="940">
        <v>281643.22</v>
      </c>
    </row>
    <row r="30" spans="1:4" ht="16.5" thickBot="1">
      <c r="A30" s="460" t="s">
        <v>914</v>
      </c>
      <c r="B30" s="549"/>
      <c r="C30" s="550"/>
      <c r="D30" s="551"/>
    </row>
    <row r="31" spans="1:4" ht="24">
      <c r="A31" s="808" t="s">
        <v>194</v>
      </c>
      <c r="B31" s="433" t="s">
        <v>920</v>
      </c>
      <c r="C31" s="443" t="s">
        <v>673</v>
      </c>
      <c r="D31" s="444" t="s">
        <v>793</v>
      </c>
    </row>
    <row r="32" spans="1:4" ht="15">
      <c r="A32" s="377" t="s">
        <v>203</v>
      </c>
      <c r="B32" s="358"/>
      <c r="C32" s="421"/>
      <c r="D32" s="421">
        <v>10971.42</v>
      </c>
    </row>
    <row r="33" spans="1:4" ht="15">
      <c r="A33" s="464"/>
      <c r="B33" s="358"/>
      <c r="C33" s="421"/>
      <c r="D33" s="421"/>
    </row>
    <row r="34" spans="1:4" ht="15.75" thickBot="1">
      <c r="A34" s="390"/>
      <c r="B34" s="748"/>
      <c r="C34" s="674"/>
      <c r="D34" s="459"/>
    </row>
    <row r="35" spans="1:4" ht="15.75" thickBot="1">
      <c r="A35" s="805" t="s">
        <v>701</v>
      </c>
      <c r="B35" s="1100"/>
      <c r="C35" s="796"/>
      <c r="D35" s="940">
        <v>10971.42</v>
      </c>
    </row>
    <row r="36" spans="1:4" ht="15">
      <c r="A36" s="808" t="s">
        <v>778</v>
      </c>
      <c r="B36" s="800"/>
      <c r="C36" s="441"/>
      <c r="D36" s="441"/>
    </row>
    <row r="37" spans="1:4" ht="15.75">
      <c r="A37" s="547" t="s">
        <v>378</v>
      </c>
      <c r="B37" s="365"/>
      <c r="C37" s="423">
        <v>1</v>
      </c>
      <c r="D37" s="421">
        <v>26603</v>
      </c>
    </row>
    <row r="38" spans="1:4" ht="16.5" thickBot="1">
      <c r="A38" s="554" t="s">
        <v>754</v>
      </c>
      <c r="B38" s="365"/>
      <c r="C38" s="423">
        <v>5</v>
      </c>
      <c r="D38" s="421">
        <v>2649.88</v>
      </c>
    </row>
    <row r="39" spans="1:4" ht="15.75" thickBot="1">
      <c r="A39" s="806" t="s">
        <v>821</v>
      </c>
      <c r="B39" s="811"/>
      <c r="C39" s="803"/>
      <c r="D39" s="858">
        <v>29252.88</v>
      </c>
    </row>
    <row r="40" spans="1:4" ht="15">
      <c r="A40" s="808" t="s">
        <v>780</v>
      </c>
      <c r="B40" s="570"/>
      <c r="C40" s="441"/>
      <c r="D40" s="810"/>
    </row>
    <row r="41" spans="1:4" ht="15">
      <c r="A41" s="390" t="s">
        <v>235</v>
      </c>
      <c r="B41" s="748" t="s">
        <v>211</v>
      </c>
      <c r="C41" s="400">
        <v>1</v>
      </c>
      <c r="D41" s="393">
        <v>1764.58</v>
      </c>
    </row>
    <row r="42" spans="1:4" ht="15">
      <c r="A42" s="390" t="s">
        <v>300</v>
      </c>
      <c r="B42" s="748" t="s">
        <v>478</v>
      </c>
      <c r="C42" s="400">
        <v>1</v>
      </c>
      <c r="D42" s="393">
        <v>309.54</v>
      </c>
    </row>
    <row r="43" spans="1:4" ht="15.75" thickBot="1">
      <c r="A43" s="390" t="s">
        <v>174</v>
      </c>
      <c r="B43" s="748" t="s">
        <v>478</v>
      </c>
      <c r="C43" s="617">
        <v>1</v>
      </c>
      <c r="D43" s="618">
        <v>1529.03</v>
      </c>
    </row>
    <row r="44" spans="1:4" ht="15.75" thickBot="1">
      <c r="A44" s="805" t="s">
        <v>701</v>
      </c>
      <c r="B44" s="817"/>
      <c r="C44" s="854"/>
      <c r="D44" s="928">
        <v>3603.15</v>
      </c>
    </row>
    <row r="45" spans="1:4" ht="15">
      <c r="A45" s="813" t="s">
        <v>361</v>
      </c>
      <c r="B45" s="819"/>
      <c r="C45" s="1047"/>
      <c r="D45" s="631"/>
    </row>
    <row r="46" spans="1:4" ht="15">
      <c r="A46" s="390" t="s">
        <v>479</v>
      </c>
      <c r="B46" s="748" t="s">
        <v>52</v>
      </c>
      <c r="C46" s="400">
        <v>3</v>
      </c>
      <c r="D46" s="393">
        <v>3355.51</v>
      </c>
    </row>
    <row r="47" spans="1:4" ht="15">
      <c r="A47" s="390" t="s">
        <v>882</v>
      </c>
      <c r="B47" s="748"/>
      <c r="C47" s="400">
        <v>6</v>
      </c>
      <c r="D47" s="393">
        <v>3268.46</v>
      </c>
    </row>
    <row r="48" spans="1:4" ht="15.75" thickBot="1">
      <c r="A48" s="390"/>
      <c r="B48" s="748"/>
      <c r="C48" s="617"/>
      <c r="D48" s="618"/>
    </row>
    <row r="49" spans="1:4" ht="15.75" thickBot="1">
      <c r="A49" s="805" t="s">
        <v>1014</v>
      </c>
      <c r="B49" s="817"/>
      <c r="C49" s="854"/>
      <c r="D49" s="928">
        <v>6623.97</v>
      </c>
    </row>
    <row r="50" spans="1:4" ht="15">
      <c r="A50" s="813" t="s">
        <v>781</v>
      </c>
      <c r="B50" s="819"/>
      <c r="C50" s="404"/>
      <c r="D50" s="507"/>
    </row>
    <row r="51" spans="1:4" ht="15">
      <c r="A51" s="389" t="s">
        <v>886</v>
      </c>
      <c r="B51" s="747" t="s">
        <v>40</v>
      </c>
      <c r="C51" s="508">
        <v>3</v>
      </c>
      <c r="D51" s="393">
        <v>1082.6</v>
      </c>
    </row>
    <row r="52" spans="1:4" ht="15">
      <c r="A52" s="389" t="s">
        <v>542</v>
      </c>
      <c r="B52" s="747" t="s">
        <v>372</v>
      </c>
      <c r="C52" s="508">
        <v>2</v>
      </c>
      <c r="D52" s="393">
        <v>365.76</v>
      </c>
    </row>
    <row r="53" spans="1:4" ht="15">
      <c r="A53" s="389" t="s">
        <v>783</v>
      </c>
      <c r="B53" s="747" t="s">
        <v>885</v>
      </c>
      <c r="C53" s="508">
        <v>1</v>
      </c>
      <c r="D53" s="393">
        <v>636.87</v>
      </c>
    </row>
    <row r="54" spans="1:4" ht="15">
      <c r="A54" s="389" t="s">
        <v>692</v>
      </c>
      <c r="B54" s="747" t="s">
        <v>885</v>
      </c>
      <c r="C54" s="508">
        <v>1</v>
      </c>
      <c r="D54" s="393">
        <v>11734.57</v>
      </c>
    </row>
    <row r="55" spans="1:4" ht="15.75" thickBot="1">
      <c r="A55" s="807" t="s">
        <v>782</v>
      </c>
      <c r="B55" s="365" t="s">
        <v>478</v>
      </c>
      <c r="C55" s="809">
        <v>5</v>
      </c>
      <c r="D55" s="424">
        <v>935.04</v>
      </c>
    </row>
    <row r="56" spans="1:4" ht="15.75" thickBot="1">
      <c r="A56" s="806" t="s">
        <v>701</v>
      </c>
      <c r="B56" s="830"/>
      <c r="C56" s="1080"/>
      <c r="D56" s="841">
        <v>14754.84</v>
      </c>
    </row>
    <row r="57" spans="1:4" ht="15.75" thickBot="1">
      <c r="A57" s="894" t="s">
        <v>458</v>
      </c>
      <c r="B57" s="811"/>
      <c r="C57" s="803"/>
      <c r="D57" s="533">
        <v>65206.26</v>
      </c>
    </row>
    <row r="58" spans="1:4" ht="15">
      <c r="A58" s="377"/>
      <c r="B58" s="570"/>
      <c r="C58" s="441"/>
      <c r="D58" s="810"/>
    </row>
    <row r="59" spans="1:4" ht="15">
      <c r="A59" s="944" t="s">
        <v>453</v>
      </c>
      <c r="B59" s="365"/>
      <c r="C59" s="421"/>
      <c r="D59" s="1098">
        <v>24861.08</v>
      </c>
    </row>
    <row r="60" spans="1:4" ht="15">
      <c r="A60" s="944" t="s">
        <v>904</v>
      </c>
      <c r="B60" s="365"/>
      <c r="C60" s="421"/>
      <c r="D60" s="1089">
        <v>7692.5</v>
      </c>
    </row>
    <row r="61" spans="1:4" ht="15">
      <c r="A61" s="944" t="s">
        <v>735</v>
      </c>
      <c r="B61" s="365"/>
      <c r="C61" s="421"/>
      <c r="D61" s="891">
        <v>85942.76</v>
      </c>
    </row>
    <row r="62" spans="1:4" ht="15">
      <c r="A62" s="465"/>
      <c r="B62" s="757"/>
      <c r="C62" s="427"/>
      <c r="D62" s="428"/>
    </row>
    <row r="63" spans="1:4" ht="15.75" thickBot="1">
      <c r="A63" s="902"/>
      <c r="B63" s="1065"/>
      <c r="C63" s="435"/>
      <c r="D63" s="1077"/>
    </row>
    <row r="64" spans="1:4" ht="15.75" thickBot="1">
      <c r="A64" s="806" t="s">
        <v>36</v>
      </c>
      <c r="B64" s="811"/>
      <c r="C64" s="907"/>
      <c r="D64" s="863">
        <v>465345.82</v>
      </c>
    </row>
    <row r="65" spans="1:4" ht="15">
      <c r="A65" s="436"/>
      <c r="B65" s="436"/>
      <c r="C65" s="437"/>
      <c r="D65" s="495"/>
    </row>
    <row r="66" spans="1:4" ht="12.75">
      <c r="A66" s="1353"/>
      <c r="B66" s="1354"/>
      <c r="C66" s="374"/>
      <c r="D66" s="442"/>
    </row>
    <row r="67" spans="1:4" ht="12.75">
      <c r="A67" s="1355"/>
      <c r="B67" s="1356"/>
      <c r="C67" s="559"/>
      <c r="D67" s="559"/>
    </row>
    <row r="68" spans="1:4" ht="15">
      <c r="A68" s="1251" t="s">
        <v>568</v>
      </c>
      <c r="B68" s="1257"/>
      <c r="C68" s="467"/>
      <c r="D68" s="467">
        <v>0</v>
      </c>
    </row>
    <row r="69" spans="1:4" ht="15">
      <c r="A69" s="1332" t="s">
        <v>569</v>
      </c>
      <c r="B69" s="1332"/>
      <c r="C69" s="628"/>
      <c r="D69" s="608">
        <v>628171</v>
      </c>
    </row>
    <row r="70" spans="1:4" ht="15">
      <c r="A70" s="1332" t="s">
        <v>570</v>
      </c>
      <c r="B70" s="1332"/>
      <c r="C70" s="607"/>
      <c r="D70" s="608">
        <v>465345.82</v>
      </c>
    </row>
    <row r="71" spans="1:4" ht="15">
      <c r="A71" s="1333" t="s">
        <v>571</v>
      </c>
      <c r="B71" s="1333"/>
      <c r="C71" s="629"/>
      <c r="D71" s="629">
        <v>-162825.18</v>
      </c>
    </row>
    <row r="72" spans="1:4" ht="15">
      <c r="A72" s="1332" t="s">
        <v>179</v>
      </c>
      <c r="B72" s="1332"/>
      <c r="C72" s="1258"/>
      <c r="D72" s="630">
        <v>-162825.18</v>
      </c>
    </row>
    <row r="73" spans="1:4" ht="15">
      <c r="A73" s="538"/>
      <c r="B73" s="538"/>
      <c r="C73" s="1259"/>
      <c r="D73" s="1260"/>
    </row>
    <row r="74" spans="1:4" ht="15">
      <c r="A74" s="538"/>
      <c r="B74" s="538"/>
      <c r="C74" s="1259"/>
      <c r="D74" s="1260"/>
    </row>
    <row r="76" spans="1:3" ht="12.75">
      <c r="A76" s="1" t="s">
        <v>180</v>
      </c>
      <c r="C76" s="1" t="s">
        <v>573</v>
      </c>
    </row>
    <row r="78" ht="12.75">
      <c r="A78" s="735" t="s">
        <v>357</v>
      </c>
    </row>
    <row r="79" ht="12.75">
      <c r="A79" s="735" t="s">
        <v>906</v>
      </c>
    </row>
    <row r="80" ht="12.75">
      <c r="A80" s="735" t="s">
        <v>358</v>
      </c>
    </row>
    <row r="81" ht="12.75">
      <c r="A81" s="735"/>
    </row>
  </sheetData>
  <sheetProtection/>
  <mergeCells count="25">
    <mergeCell ref="A72:B72"/>
    <mergeCell ref="A66:B67"/>
    <mergeCell ref="A69:B69"/>
    <mergeCell ref="A70:B70"/>
    <mergeCell ref="A71:B71"/>
    <mergeCell ref="A15:B15"/>
    <mergeCell ref="C15:D15"/>
    <mergeCell ref="A16:B16"/>
    <mergeCell ref="C16:D16"/>
    <mergeCell ref="A17:B17"/>
    <mergeCell ref="C17:D17"/>
    <mergeCell ref="A19:D19"/>
    <mergeCell ref="A20:D20"/>
    <mergeCell ref="A7:B7"/>
    <mergeCell ref="A9:B9"/>
    <mergeCell ref="A11:B12"/>
    <mergeCell ref="C11:D12"/>
    <mergeCell ref="A13:B13"/>
    <mergeCell ref="C13:D13"/>
    <mergeCell ref="A14:B14"/>
    <mergeCell ref="C14:D14"/>
    <mergeCell ref="C3:D3"/>
    <mergeCell ref="A4:B4"/>
    <mergeCell ref="A5:B5"/>
    <mergeCell ref="A6:B6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  <col min="5" max="5" width="14.8515625" style="0" customWidth="1"/>
  </cols>
  <sheetData>
    <row r="1" ht="12.75">
      <c r="C1" s="1" t="s">
        <v>792</v>
      </c>
    </row>
    <row r="2" spans="1:2" s="140" customFormat="1" ht="18.75" customHeight="1">
      <c r="A2" s="1331" t="s">
        <v>687</v>
      </c>
      <c r="B2" s="1331"/>
    </row>
    <row r="3" spans="1:2" s="91" customFormat="1" ht="15.75">
      <c r="A3" s="1349" t="s">
        <v>803</v>
      </c>
      <c r="B3" s="1349"/>
    </row>
    <row r="4" spans="1:2" s="91" customFormat="1" ht="15.75">
      <c r="A4" s="1349" t="s">
        <v>641</v>
      </c>
      <c r="B4" s="1349"/>
    </row>
    <row r="5" spans="1:2" s="91" customFormat="1" ht="15.75">
      <c r="A5" s="1349" t="s">
        <v>877</v>
      </c>
      <c r="B5" s="1349"/>
    </row>
    <row r="6" spans="1:3" ht="9" customHeight="1">
      <c r="A6" s="26"/>
      <c r="B6" s="26"/>
      <c r="C6"/>
    </row>
    <row r="7" spans="1:2" s="139" customFormat="1" ht="15">
      <c r="A7" s="1343" t="s">
        <v>890</v>
      </c>
      <c r="B7" s="1343"/>
    </row>
    <row r="8" spans="1:3" ht="9" customHeight="1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v>63929.44</v>
      </c>
      <c r="D11" s="136">
        <v>11318.73</v>
      </c>
    </row>
    <row r="12" spans="1:4" ht="15.75" thickBot="1">
      <c r="A12" s="292" t="s">
        <v>646</v>
      </c>
      <c r="B12" s="293"/>
      <c r="C12" s="137">
        <v>288394.21</v>
      </c>
      <c r="D12" s="136">
        <v>13392.75</v>
      </c>
    </row>
    <row r="13" spans="1:4" ht="15.75" thickBot="1">
      <c r="A13" s="1341" t="s">
        <v>647</v>
      </c>
      <c r="B13" s="1342"/>
      <c r="C13" s="135">
        <v>282667.16</v>
      </c>
      <c r="D13" s="136">
        <v>24056.56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61624.2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v>63869.2</v>
      </c>
      <c r="D17" s="136">
        <f>D11+D12-D13</f>
        <v>654.9199999999983</v>
      </c>
    </row>
    <row r="18" spans="1:4" ht="15.75" thickBot="1">
      <c r="A18" s="1341" t="s">
        <v>806</v>
      </c>
      <c r="B18" s="1342"/>
      <c r="C18" s="170">
        <f>D24+D58</f>
        <v>393391.2100000001</v>
      </c>
      <c r="D18" s="138"/>
    </row>
    <row r="19" spans="2:3" ht="9" customHeight="1">
      <c r="B19" s="83"/>
      <c r="C19" s="81"/>
    </row>
    <row r="20" spans="1:4" s="91" customFormat="1" ht="15.75">
      <c r="A20" s="1340" t="s">
        <v>650</v>
      </c>
      <c r="B20" s="1340"/>
      <c r="C20" s="1340"/>
      <c r="D20" s="1340"/>
    </row>
    <row r="21" spans="1:4" s="91" customFormat="1" ht="15.75">
      <c r="A21" s="1340" t="s">
        <v>891</v>
      </c>
      <c r="B21" s="1340"/>
      <c r="C21" s="1340"/>
      <c r="D21" s="1340"/>
    </row>
    <row r="22" s="82" customFormat="1" ht="8.25" customHeight="1" thickBot="1">
      <c r="C22" s="103"/>
    </row>
    <row r="23" spans="1:4" s="82" customFormat="1" ht="25.5" customHeight="1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s="91" customFormat="1" ht="16.5" thickBot="1">
      <c r="A24" s="143" t="s">
        <v>878</v>
      </c>
      <c r="B24" s="61"/>
      <c r="C24" s="144"/>
      <c r="D24" s="62">
        <f>D25+D31+D33+D34+D35+D36</f>
        <v>361319.19000000006</v>
      </c>
    </row>
    <row r="25" spans="1:5" s="139" customFormat="1" ht="26.25" customHeight="1" thickBot="1">
      <c r="A25" s="166" t="s">
        <v>662</v>
      </c>
      <c r="B25" s="64" t="s">
        <v>652</v>
      </c>
      <c r="C25" s="45"/>
      <c r="D25" s="171">
        <v>263010.64</v>
      </c>
      <c r="E25" s="91"/>
    </row>
    <row r="26" spans="1:5" s="139" customFormat="1" ht="30.75" hidden="1" thickBot="1">
      <c r="A26" s="133" t="s">
        <v>686</v>
      </c>
      <c r="B26" s="65" t="s">
        <v>661</v>
      </c>
      <c r="C26" s="169"/>
      <c r="D26" s="172"/>
      <c r="E26" s="91"/>
    </row>
    <row r="27" spans="1:5" s="139" customFormat="1" ht="16.5" hidden="1" thickBot="1">
      <c r="A27" s="133" t="s">
        <v>765</v>
      </c>
      <c r="B27" s="65" t="s">
        <v>661</v>
      </c>
      <c r="C27" s="169"/>
      <c r="D27" s="172"/>
      <c r="E27" s="91"/>
    </row>
    <row r="28" spans="1:5" s="139" customFormat="1" ht="39.75" hidden="1" thickBot="1">
      <c r="A28" s="133" t="s">
        <v>655</v>
      </c>
      <c r="B28" s="64" t="s">
        <v>653</v>
      </c>
      <c r="C28" s="45"/>
      <c r="D28" s="173"/>
      <c r="E28" s="91"/>
    </row>
    <row r="29" spans="1:5" s="139" customFormat="1" ht="45.75" hidden="1" thickBot="1">
      <c r="A29" s="133" t="s">
        <v>796</v>
      </c>
      <c r="B29" s="65" t="s">
        <v>661</v>
      </c>
      <c r="C29" s="169"/>
      <c r="D29" s="172"/>
      <c r="E29" s="91"/>
    </row>
    <row r="30" spans="1:5" s="139" customFormat="1" ht="45.75" hidden="1" thickBot="1">
      <c r="A30" s="133" t="s">
        <v>797</v>
      </c>
      <c r="B30" s="65" t="s">
        <v>661</v>
      </c>
      <c r="C30" s="169"/>
      <c r="D30" s="172"/>
      <c r="E30" s="91"/>
    </row>
    <row r="31" spans="1:5" s="139" customFormat="1" ht="16.5" thickBot="1">
      <c r="A31" s="133" t="s">
        <v>654</v>
      </c>
      <c r="B31" s="48" t="s">
        <v>656</v>
      </c>
      <c r="C31" s="45" t="s">
        <v>801</v>
      </c>
      <c r="D31" s="171">
        <v>45633.4</v>
      </c>
      <c r="E31" s="91"/>
    </row>
    <row r="32" spans="1:5" s="139" customFormat="1" ht="30.75" hidden="1" thickBot="1">
      <c r="A32" s="133" t="s">
        <v>893</v>
      </c>
      <c r="B32" s="146" t="s">
        <v>661</v>
      </c>
      <c r="C32" s="146" t="s">
        <v>822</v>
      </c>
      <c r="D32" s="172"/>
      <c r="E32" s="91"/>
    </row>
    <row r="33" spans="1:5" s="139" customFormat="1" ht="27" customHeight="1" thickBot="1">
      <c r="A33" s="133" t="s">
        <v>658</v>
      </c>
      <c r="B33" s="168" t="s">
        <v>657</v>
      </c>
      <c r="C33" s="145"/>
      <c r="D33" s="171">
        <v>32377.03</v>
      </c>
      <c r="E33" s="91"/>
    </row>
    <row r="34" spans="1:5" s="139" customFormat="1" ht="16.5" thickBot="1">
      <c r="A34" s="133" t="s">
        <v>799</v>
      </c>
      <c r="B34" s="181" t="s">
        <v>661</v>
      </c>
      <c r="C34" s="182"/>
      <c r="D34" s="183">
        <v>6453.94</v>
      </c>
      <c r="E34" s="91"/>
    </row>
    <row r="35" spans="1:5" s="139" customFormat="1" ht="16.5" thickBot="1">
      <c r="A35" s="133" t="s">
        <v>879</v>
      </c>
      <c r="B35" s="181" t="s">
        <v>661</v>
      </c>
      <c r="C35" s="182"/>
      <c r="D35" s="183">
        <f>2279.35+58.35</f>
        <v>2337.7</v>
      </c>
      <c r="E35" s="91"/>
    </row>
    <row r="36" spans="1:5" s="139" customFormat="1" ht="16.5" thickBot="1">
      <c r="A36" s="147" t="s">
        <v>685</v>
      </c>
      <c r="B36" s="184" t="s">
        <v>817</v>
      </c>
      <c r="C36" s="45" t="s">
        <v>801</v>
      </c>
      <c r="D36" s="186">
        <v>11506.48</v>
      </c>
      <c r="E36" s="91"/>
    </row>
    <row r="37" spans="1:5" ht="32.25" hidden="1" thickBot="1">
      <c r="A37" s="70" t="s">
        <v>802</v>
      </c>
      <c r="B37" s="47"/>
      <c r="C37" s="44"/>
      <c r="D37" s="174"/>
      <c r="E37" s="91"/>
    </row>
    <row r="38" spans="1:5" s="139" customFormat="1" ht="15.75" customHeight="1" thickBot="1">
      <c r="A38" s="148" t="s">
        <v>760</v>
      </c>
      <c r="B38" s="149"/>
      <c r="D38" s="175"/>
      <c r="E38" s="91"/>
    </row>
    <row r="39" spans="1:5" s="139" customFormat="1" ht="24.75" customHeight="1" thickBot="1">
      <c r="A39" s="150" t="s">
        <v>672</v>
      </c>
      <c r="B39" s="15" t="s">
        <v>920</v>
      </c>
      <c r="C39" s="49" t="s">
        <v>673</v>
      </c>
      <c r="D39" s="176" t="s">
        <v>793</v>
      </c>
      <c r="E39" s="91"/>
    </row>
    <row r="40" spans="1:5" s="139" customFormat="1" ht="15">
      <c r="A40" s="156" t="s">
        <v>816</v>
      </c>
      <c r="B40" s="74" t="s">
        <v>661</v>
      </c>
      <c r="C40" s="153"/>
      <c r="D40" s="177">
        <v>3862.55</v>
      </c>
      <c r="E40" s="91"/>
    </row>
    <row r="41" spans="1:5" s="139" customFormat="1" ht="15">
      <c r="A41" s="151" t="s">
        <v>676</v>
      </c>
      <c r="B41" s="116"/>
      <c r="C41" s="153"/>
      <c r="D41" s="177"/>
      <c r="E41" s="91"/>
    </row>
    <row r="42" spans="1:5" s="139" customFormat="1" ht="15">
      <c r="A42" s="157" t="s">
        <v>815</v>
      </c>
      <c r="B42" s="74" t="s">
        <v>661</v>
      </c>
      <c r="C42" s="153"/>
      <c r="D42" s="178">
        <v>292.74</v>
      </c>
      <c r="E42" s="91"/>
    </row>
    <row r="43" spans="1:5" s="139" customFormat="1" ht="15">
      <c r="A43" s="132" t="s">
        <v>883</v>
      </c>
      <c r="B43" s="74" t="s">
        <v>661</v>
      </c>
      <c r="C43" s="153"/>
      <c r="D43" s="179">
        <v>4974.63</v>
      </c>
      <c r="E43" s="91"/>
    </row>
    <row r="44" spans="1:5" s="139" customFormat="1" ht="15">
      <c r="A44" s="157" t="s">
        <v>880</v>
      </c>
      <c r="B44" s="74" t="s">
        <v>661</v>
      </c>
      <c r="C44" s="153"/>
      <c r="D44" s="179">
        <v>4116.57</v>
      </c>
      <c r="E44" s="91"/>
    </row>
    <row r="45" spans="1:5" s="139" customFormat="1" ht="15">
      <c r="A45" s="157" t="s">
        <v>881</v>
      </c>
      <c r="B45" s="74" t="s">
        <v>661</v>
      </c>
      <c r="C45" s="153"/>
      <c r="D45" s="180">
        <v>6761.97</v>
      </c>
      <c r="E45" s="91"/>
    </row>
    <row r="46" spans="1:5" s="139" customFormat="1" ht="15">
      <c r="A46" s="157" t="s">
        <v>882</v>
      </c>
      <c r="B46" s="74" t="s">
        <v>661</v>
      </c>
      <c r="C46" s="153"/>
      <c r="D46" s="180">
        <v>1222.95</v>
      </c>
      <c r="E46" s="91"/>
    </row>
    <row r="47" spans="1:5" ht="15" hidden="1">
      <c r="A47" s="40"/>
      <c r="B47" s="112"/>
      <c r="C47" s="153"/>
      <c r="D47" s="56"/>
      <c r="E47" s="91"/>
    </row>
    <row r="48" spans="1:5" ht="15" hidden="1">
      <c r="A48" s="40"/>
      <c r="B48" s="112"/>
      <c r="C48" s="153"/>
      <c r="D48" s="56"/>
      <c r="E48" s="91"/>
    </row>
    <row r="49" spans="1:5" s="139" customFormat="1" ht="15.75">
      <c r="A49" s="151" t="s">
        <v>682</v>
      </c>
      <c r="B49" s="118"/>
      <c r="C49" s="153"/>
      <c r="D49" s="155"/>
      <c r="E49" s="91"/>
    </row>
    <row r="50" spans="1:5" s="139" customFormat="1" ht="15">
      <c r="A50" s="159" t="s">
        <v>884</v>
      </c>
      <c r="B50" s="74" t="s">
        <v>661</v>
      </c>
      <c r="C50" s="153"/>
      <c r="D50" s="160">
        <v>2223.36</v>
      </c>
      <c r="E50" s="91"/>
    </row>
    <row r="51" spans="1:5" s="139" customFormat="1" ht="15">
      <c r="A51" s="159" t="s">
        <v>886</v>
      </c>
      <c r="B51" s="74" t="s">
        <v>661</v>
      </c>
      <c r="C51" s="153"/>
      <c r="D51" s="160">
        <v>1377.12</v>
      </c>
      <c r="E51" s="91"/>
    </row>
    <row r="52" spans="1:5" s="139" customFormat="1" ht="15">
      <c r="A52" s="159" t="s">
        <v>887</v>
      </c>
      <c r="B52" s="74" t="s">
        <v>661</v>
      </c>
      <c r="C52" s="153"/>
      <c r="D52" s="160">
        <v>5120</v>
      </c>
      <c r="E52" s="91"/>
    </row>
    <row r="53" spans="1:5" s="139" customFormat="1" ht="15">
      <c r="A53" s="159" t="s">
        <v>888</v>
      </c>
      <c r="B53" s="74" t="s">
        <v>661</v>
      </c>
      <c r="C53" s="153"/>
      <c r="D53" s="160">
        <f>209.05+751.26+394.83+764.99</f>
        <v>2120.13</v>
      </c>
      <c r="E53" s="91"/>
    </row>
    <row r="54" spans="1:5" s="139" customFormat="1" ht="15" hidden="1">
      <c r="A54" s="159"/>
      <c r="B54" s="158"/>
      <c r="C54" s="153"/>
      <c r="D54" s="160"/>
      <c r="E54" s="91"/>
    </row>
    <row r="55" spans="1:5" s="139" customFormat="1" ht="14.25" customHeight="1" hidden="1">
      <c r="A55" s="159"/>
      <c r="B55" s="158"/>
      <c r="C55" s="153"/>
      <c r="D55" s="160"/>
      <c r="E55" s="91"/>
    </row>
    <row r="56" spans="1:5" s="139" customFormat="1" ht="13.5" customHeight="1" hidden="1">
      <c r="A56" s="157"/>
      <c r="B56" s="153"/>
      <c r="C56" s="153"/>
      <c r="D56" s="160"/>
      <c r="E56" s="91"/>
    </row>
    <row r="57" spans="1:5" s="139" customFormat="1" ht="15" hidden="1">
      <c r="A57" s="161" t="s">
        <v>683</v>
      </c>
      <c r="B57" s="153"/>
      <c r="C57" s="153"/>
      <c r="D57" s="160"/>
      <c r="E57" s="91"/>
    </row>
    <row r="58" spans="1:5" s="139" customFormat="1" ht="15.75">
      <c r="A58" s="162" t="s">
        <v>821</v>
      </c>
      <c r="B58" s="163"/>
      <c r="C58" s="164"/>
      <c r="D58" s="165">
        <f>SUM(D40:D57)</f>
        <v>32072.02</v>
      </c>
      <c r="E58" s="91"/>
    </row>
    <row r="59" spans="1:5" ht="15">
      <c r="A59" s="71"/>
      <c r="B59" s="11"/>
      <c r="C59" s="11"/>
      <c r="D59" s="11"/>
      <c r="E59" s="91"/>
    </row>
    <row r="60" spans="1:5" ht="15">
      <c r="A60" s="71"/>
      <c r="B60" s="11"/>
      <c r="C60" s="11"/>
      <c r="D60" s="11"/>
      <c r="E60" s="91"/>
    </row>
    <row r="61" spans="1:5" ht="15">
      <c r="A61" s="71"/>
      <c r="B61" s="11"/>
      <c r="C61" s="11"/>
      <c r="D61" s="11"/>
      <c r="E61" s="91"/>
    </row>
    <row r="62" spans="1:5" ht="15">
      <c r="A62" s="71"/>
      <c r="B62" s="11"/>
      <c r="C62" s="11"/>
      <c r="D62" s="11"/>
      <c r="E62" s="91"/>
    </row>
    <row r="63" spans="1:5" ht="15.75">
      <c r="A63" s="187" t="s">
        <v>921</v>
      </c>
      <c r="B63" s="187"/>
      <c r="C63" s="187" t="s">
        <v>889</v>
      </c>
      <c r="E63" s="91"/>
    </row>
    <row r="64" spans="1:5" ht="15.75">
      <c r="A64" s="6"/>
      <c r="E64" s="91"/>
    </row>
    <row r="65" spans="1:5" ht="15.75">
      <c r="A65" s="6"/>
      <c r="E65" s="91"/>
    </row>
    <row r="66" spans="1:5" ht="15.75">
      <c r="A66" s="6"/>
      <c r="E66" s="91"/>
    </row>
    <row r="67" ht="15.75">
      <c r="A67" s="6"/>
    </row>
    <row r="68" ht="15.75">
      <c r="A68" s="6"/>
    </row>
    <row r="70" ht="15.75">
      <c r="A70" s="7"/>
    </row>
  </sheetData>
  <sheetProtection/>
  <mergeCells count="14">
    <mergeCell ref="A7:B7"/>
    <mergeCell ref="A9:B10"/>
    <mergeCell ref="A2:B2"/>
    <mergeCell ref="A3:B3"/>
    <mergeCell ref="A4:B4"/>
    <mergeCell ref="A5:B5"/>
    <mergeCell ref="A21:D21"/>
    <mergeCell ref="A13:B13"/>
    <mergeCell ref="A14:B14"/>
    <mergeCell ref="A17:B17"/>
    <mergeCell ref="A18:B18"/>
    <mergeCell ref="A20:D20"/>
    <mergeCell ref="A15:B15"/>
    <mergeCell ref="A16:B16"/>
  </mergeCells>
  <printOptions/>
  <pageMargins left="0.196850393700787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  <col min="6" max="6" width="11.8515625" style="0" bestFit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922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70.28+19109.37</f>
        <v>19179.649999999998</v>
      </c>
      <c r="D11" s="136">
        <v>4746.92</v>
      </c>
    </row>
    <row r="12" spans="1:4" ht="15.75" thickBot="1">
      <c r="A12" s="1341" t="s">
        <v>646</v>
      </c>
      <c r="B12" s="1342"/>
      <c r="C12" s="137">
        <f>803.2+267945.19</f>
        <v>268748.39</v>
      </c>
      <c r="D12" s="136">
        <v>15469.83</v>
      </c>
    </row>
    <row r="13" spans="1:4" ht="15.75" thickBot="1">
      <c r="A13" s="1341" t="s">
        <v>647</v>
      </c>
      <c r="B13" s="1342"/>
      <c r="C13" s="135">
        <f>873.48+257670.58</f>
        <v>258544.06</v>
      </c>
      <c r="D13" s="136">
        <v>20216.75</v>
      </c>
    </row>
    <row r="14" spans="1:4" ht="15.75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/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29383.98000000004</v>
      </c>
      <c r="D17" s="136">
        <f>D11+D12-D13</f>
        <v>0</v>
      </c>
    </row>
    <row r="18" spans="1:4" ht="15.75" thickBot="1">
      <c r="A18" s="1341" t="s">
        <v>806</v>
      </c>
      <c r="B18" s="1342"/>
      <c r="C18" s="170">
        <f>D24+D49</f>
        <v>210387.12</v>
      </c>
      <c r="D18" s="138"/>
    </row>
    <row r="19" spans="2:3" ht="12.75">
      <c r="B19" s="83"/>
      <c r="C19" s="81"/>
    </row>
    <row r="20" spans="1:4" ht="15.75">
      <c r="A20" s="1385"/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D25+D26+D27+D28+D29+D30</f>
        <v>169488.56</v>
      </c>
    </row>
    <row r="25" spans="1:4" ht="26.25" thickBot="1">
      <c r="A25" s="166" t="s">
        <v>662</v>
      </c>
      <c r="B25" s="64" t="s">
        <v>652</v>
      </c>
      <c r="C25" s="45"/>
      <c r="D25" s="171">
        <v>88254.41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43100.27</v>
      </c>
    </row>
    <row r="27" spans="1:4" ht="25.5" thickBot="1">
      <c r="A27" s="133" t="s">
        <v>658</v>
      </c>
      <c r="B27" s="168" t="s">
        <v>657</v>
      </c>
      <c r="C27" s="145"/>
      <c r="D27" s="171">
        <v>18940.51</v>
      </c>
    </row>
    <row r="28" spans="1:4" ht="15.75" thickBot="1">
      <c r="A28" s="133" t="s">
        <v>799</v>
      </c>
      <c r="B28" s="181" t="s">
        <v>661</v>
      </c>
      <c r="C28" s="182"/>
      <c r="D28" s="183">
        <v>7142.08</v>
      </c>
    </row>
    <row r="29" spans="1:4" ht="15.75" hidden="1" thickBot="1">
      <c r="A29" s="133" t="s">
        <v>879</v>
      </c>
      <c r="B29" s="181" t="s">
        <v>661</v>
      </c>
      <c r="C29" s="182"/>
      <c r="D29" s="183">
        <v>0</v>
      </c>
    </row>
    <row r="30" spans="1:4" ht="15.75" thickBot="1">
      <c r="A30" s="147" t="s">
        <v>685</v>
      </c>
      <c r="B30" s="184" t="s">
        <v>817</v>
      </c>
      <c r="C30" s="185"/>
      <c r="D30" s="186">
        <v>12051.29</v>
      </c>
    </row>
    <row r="31" spans="1:4" ht="16.5" thickBot="1">
      <c r="A31" s="148" t="s">
        <v>760</v>
      </c>
      <c r="B31" s="149"/>
      <c r="C31" s="139"/>
      <c r="D31" s="276">
        <f>D49</f>
        <v>40898.56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v>1545.5</v>
      </c>
    </row>
    <row r="34" spans="1:4" ht="14.25">
      <c r="A34" s="188" t="s">
        <v>928</v>
      </c>
      <c r="B34" s="74" t="s">
        <v>661</v>
      </c>
      <c r="C34" s="153"/>
      <c r="D34" s="177">
        <f>7565.85+389.11</f>
        <v>7954.96</v>
      </c>
    </row>
    <row r="35" spans="1:4" ht="14.25">
      <c r="A35" s="151" t="s">
        <v>676</v>
      </c>
      <c r="B35" s="116"/>
      <c r="C35" s="153"/>
      <c r="D35" s="177"/>
    </row>
    <row r="36" spans="1:4" ht="14.25">
      <c r="A36" s="157" t="s">
        <v>815</v>
      </c>
      <c r="B36" s="74" t="s">
        <v>661</v>
      </c>
      <c r="C36" s="153"/>
      <c r="D36" s="178">
        <f>221.98+221.98</f>
        <v>443.96</v>
      </c>
    </row>
    <row r="37" spans="1:4" ht="14.25" hidden="1">
      <c r="A37" s="132" t="s">
        <v>883</v>
      </c>
      <c r="B37" s="74" t="s">
        <v>675</v>
      </c>
      <c r="C37" s="153"/>
      <c r="D37" s="179">
        <v>0</v>
      </c>
    </row>
    <row r="38" spans="1:4" ht="14.25">
      <c r="A38" s="157" t="s">
        <v>926</v>
      </c>
      <c r="B38" s="74" t="s">
        <v>661</v>
      </c>
      <c r="C38" s="153"/>
      <c r="D38" s="179">
        <f>2799.92</f>
        <v>2799.92</v>
      </c>
    </row>
    <row r="39" spans="1:4" ht="14.25">
      <c r="A39" s="157" t="s">
        <v>925</v>
      </c>
      <c r="B39" s="74" t="s">
        <v>661</v>
      </c>
      <c r="C39" s="153"/>
      <c r="D39" s="180">
        <v>23818.15</v>
      </c>
    </row>
    <row r="40" spans="1:4" ht="14.25" hidden="1">
      <c r="A40" s="157" t="s">
        <v>927</v>
      </c>
      <c r="B40" s="74" t="s">
        <v>661</v>
      </c>
      <c r="C40" s="153"/>
      <c r="D40" s="180">
        <f>221.98-221.98</f>
        <v>0</v>
      </c>
    </row>
    <row r="41" spans="1:4" ht="14.25">
      <c r="A41" s="40"/>
      <c r="B41" s="112"/>
      <c r="C41" s="153"/>
      <c r="D41" s="56"/>
    </row>
    <row r="42" spans="1:4" ht="15">
      <c r="A42" s="151" t="s">
        <v>682</v>
      </c>
      <c r="B42" s="118"/>
      <c r="C42" s="153"/>
      <c r="D42" s="155"/>
    </row>
    <row r="43" spans="1:4" ht="14.25" hidden="1">
      <c r="A43" s="159" t="s">
        <v>884</v>
      </c>
      <c r="B43" s="74" t="s">
        <v>885</v>
      </c>
      <c r="C43" s="153"/>
      <c r="D43" s="160">
        <v>0</v>
      </c>
    </row>
    <row r="44" spans="1:4" ht="14.25" hidden="1">
      <c r="A44" s="159" t="s">
        <v>886</v>
      </c>
      <c r="B44" s="74" t="s">
        <v>675</v>
      </c>
      <c r="C44" s="153"/>
      <c r="D44" s="160">
        <v>0</v>
      </c>
    </row>
    <row r="45" spans="1:4" ht="14.25" hidden="1">
      <c r="A45" s="159" t="s">
        <v>887</v>
      </c>
      <c r="B45" s="74" t="s">
        <v>677</v>
      </c>
      <c r="C45" s="153"/>
      <c r="D45" s="160">
        <v>0</v>
      </c>
    </row>
    <row r="46" spans="1:4" ht="14.25">
      <c r="A46" s="159" t="s">
        <v>888</v>
      </c>
      <c r="B46" s="74" t="s">
        <v>661</v>
      </c>
      <c r="C46" s="153"/>
      <c r="D46" s="160">
        <v>3534.86</v>
      </c>
    </row>
    <row r="47" spans="1:4" ht="14.25">
      <c r="A47" s="159" t="s">
        <v>929</v>
      </c>
      <c r="B47" s="74" t="s">
        <v>661</v>
      </c>
      <c r="C47" s="152"/>
      <c r="D47" s="160">
        <v>801.21</v>
      </c>
    </row>
    <row r="48" spans="1:4" ht="14.25" hidden="1">
      <c r="A48" s="159"/>
      <c r="B48" s="158"/>
      <c r="C48" s="152"/>
      <c r="D48" s="160"/>
    </row>
    <row r="49" spans="1:4" ht="15" hidden="1">
      <c r="A49" s="162" t="s">
        <v>821</v>
      </c>
      <c r="B49" s="163"/>
      <c r="C49" s="164"/>
      <c r="D49" s="165">
        <f>SUM(D33:D47)</f>
        <v>40898.56</v>
      </c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4" ht="15">
      <c r="A52" s="71"/>
      <c r="B52" s="11"/>
      <c r="C52" s="11"/>
      <c r="D52" s="11"/>
    </row>
    <row r="53" spans="1:4" ht="15">
      <c r="A53" s="71"/>
      <c r="B53" s="11"/>
      <c r="C53" s="11"/>
      <c r="D53" s="11"/>
    </row>
    <row r="54" spans="1:3" ht="15.75">
      <c r="A54" s="187" t="s">
        <v>921</v>
      </c>
      <c r="B54" s="187"/>
      <c r="C54" s="187" t="s">
        <v>889</v>
      </c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1" ht="15.75">
      <c r="A61" s="7"/>
    </row>
  </sheetData>
  <sheetProtection/>
  <mergeCells count="15">
    <mergeCell ref="A16:B16"/>
    <mergeCell ref="A7:B7"/>
    <mergeCell ref="A9:B10"/>
    <mergeCell ref="A21:D21"/>
    <mergeCell ref="A12:B12"/>
    <mergeCell ref="A13:B13"/>
    <mergeCell ref="A14:B14"/>
    <mergeCell ref="A17:B17"/>
    <mergeCell ref="A18:B18"/>
    <mergeCell ref="A20:D20"/>
    <mergeCell ref="A15:B15"/>
    <mergeCell ref="A2:B2"/>
    <mergeCell ref="A3:B3"/>
    <mergeCell ref="A4:B4"/>
    <mergeCell ref="A5:B5"/>
  </mergeCells>
  <printOptions/>
  <pageMargins left="0" right="0" top="0.1968503937007874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6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937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795.24+97257.71</f>
        <v>98052.95000000001</v>
      </c>
      <c r="D11" s="136">
        <v>14956.14</v>
      </c>
    </row>
    <row r="12" spans="1:4" ht="15.75" thickBot="1">
      <c r="A12" s="1341" t="s">
        <v>646</v>
      </c>
      <c r="B12" s="1342"/>
      <c r="C12" s="137">
        <f>4448.8+821735.86</f>
        <v>826184.66</v>
      </c>
      <c r="D12" s="136">
        <v>158575.24</v>
      </c>
    </row>
    <row r="13" spans="1:4" ht="15.75" thickBot="1">
      <c r="A13" s="1341" t="s">
        <v>647</v>
      </c>
      <c r="B13" s="1342"/>
      <c r="C13" s="135">
        <f>4871.16+761799.18</f>
        <v>766670.3400000001</v>
      </c>
      <c r="D13" s="136">
        <v>150443.87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38303.76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157567.27000000002</v>
      </c>
      <c r="D17" s="136">
        <f>D11+D12-D13</f>
        <v>23087.51000000001</v>
      </c>
    </row>
    <row r="18" spans="1:4" ht="15.75" thickBot="1">
      <c r="A18" s="1341" t="s">
        <v>806</v>
      </c>
      <c r="B18" s="1342"/>
      <c r="C18" s="170">
        <f>D24+D47</f>
        <v>1057310.9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D25+D26+D27+D28+D29+D30</f>
        <v>640739.15</v>
      </c>
    </row>
    <row r="25" spans="1:4" ht="26.25" thickBot="1">
      <c r="A25" s="166" t="s">
        <v>662</v>
      </c>
      <c r="B25" s="64" t="s">
        <v>652</v>
      </c>
      <c r="C25" s="45"/>
      <c r="D25" s="171">
        <v>344808.65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124753.86</v>
      </c>
    </row>
    <row r="27" spans="1:4" ht="25.5" thickBot="1">
      <c r="A27" s="133" t="s">
        <v>658</v>
      </c>
      <c r="B27" s="168" t="s">
        <v>657</v>
      </c>
      <c r="C27" s="145"/>
      <c r="D27" s="171">
        <v>115168.14</v>
      </c>
    </row>
    <row r="28" spans="1:4" ht="15.75" thickBot="1">
      <c r="A28" s="133" t="s">
        <v>799</v>
      </c>
      <c r="B28" s="181" t="s">
        <v>661</v>
      </c>
      <c r="C28" s="182"/>
      <c r="D28" s="183">
        <v>23959</v>
      </c>
    </row>
    <row r="29" spans="1:4" ht="15.75" thickBot="1">
      <c r="A29" s="133" t="s">
        <v>879</v>
      </c>
      <c r="B29" s="181" t="s">
        <v>661</v>
      </c>
      <c r="C29" s="182"/>
      <c r="D29" s="183">
        <f>4701.41+735.38</f>
        <v>5436.79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26612.71</v>
      </c>
    </row>
    <row r="31" spans="1:4" ht="15.75" thickBot="1">
      <c r="A31" s="148" t="s">
        <v>760</v>
      </c>
      <c r="B31" s="149"/>
      <c r="C31" s="139"/>
      <c r="D31" s="194">
        <f>D33+D34+D35+D37+D38+D39+D40+D42+D43+D44+D45</f>
        <v>416571.75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v>3567.77</v>
      </c>
    </row>
    <row r="34" spans="1:4" ht="14.25">
      <c r="A34" s="188" t="s">
        <v>928</v>
      </c>
      <c r="B34" s="74" t="s">
        <v>661</v>
      </c>
      <c r="C34" s="153"/>
      <c r="D34" s="177">
        <f>1127.02+54848.52+5122.07+1880.88+6246</f>
        <v>69224.48999999999</v>
      </c>
    </row>
    <row r="35" spans="1:4" ht="14.25">
      <c r="A35" s="188" t="s">
        <v>988</v>
      </c>
      <c r="B35" s="74" t="s">
        <v>661</v>
      </c>
      <c r="C35" s="153"/>
      <c r="D35" s="177">
        <v>174215.29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v>16592.33</v>
      </c>
    </row>
    <row r="38" spans="1:4" ht="14.25">
      <c r="A38" s="132" t="s">
        <v>883</v>
      </c>
      <c r="B38" s="74" t="s">
        <v>661</v>
      </c>
      <c r="C38" s="153"/>
      <c r="D38" s="179">
        <v>46573.38</v>
      </c>
    </row>
    <row r="39" spans="1:4" ht="14.25">
      <c r="A39" s="157" t="s">
        <v>880</v>
      </c>
      <c r="B39" s="74" t="s">
        <v>661</v>
      </c>
      <c r="C39" s="153"/>
      <c r="D39" s="179">
        <v>3265.43</v>
      </c>
    </row>
    <row r="40" spans="1:4" ht="14.25">
      <c r="A40" s="157" t="s">
        <v>925</v>
      </c>
      <c r="B40" s="74" t="s">
        <v>661</v>
      </c>
      <c r="C40" s="153"/>
      <c r="D40" s="180">
        <v>30239.58</v>
      </c>
    </row>
    <row r="41" spans="1:4" ht="15">
      <c r="A41" s="151" t="s">
        <v>682</v>
      </c>
      <c r="B41" s="118"/>
      <c r="C41" s="153"/>
      <c r="D41" s="191"/>
    </row>
    <row r="42" spans="1:4" ht="14.25">
      <c r="A42" s="159" t="s">
        <v>884</v>
      </c>
      <c r="B42" s="74" t="s">
        <v>661</v>
      </c>
      <c r="C42" s="153"/>
      <c r="D42" s="192">
        <v>43658.1</v>
      </c>
    </row>
    <row r="43" spans="1:4" ht="14.25">
      <c r="A43" s="159" t="s">
        <v>886</v>
      </c>
      <c r="B43" s="74" t="s">
        <v>661</v>
      </c>
      <c r="C43" s="153"/>
      <c r="D43" s="192">
        <v>8646.75</v>
      </c>
    </row>
    <row r="44" spans="1:4" ht="14.25">
      <c r="A44" s="159" t="s">
        <v>888</v>
      </c>
      <c r="B44" s="74" t="s">
        <v>661</v>
      </c>
      <c r="C44" s="153"/>
      <c r="D44" s="192">
        <f>162.03+1822.2+2425.22+1552.52+3882.81+1026.26+4896.54+3044.86</f>
        <v>18812.44</v>
      </c>
    </row>
    <row r="45" spans="1:4" ht="14.25">
      <c r="A45" s="159" t="s">
        <v>929</v>
      </c>
      <c r="B45" s="74" t="s">
        <v>661</v>
      </c>
      <c r="C45" s="152"/>
      <c r="D45" s="192">
        <f>1776.19</f>
        <v>1776.19</v>
      </c>
    </row>
    <row r="46" spans="1:4" ht="14.25" hidden="1">
      <c r="A46" s="157"/>
      <c r="B46" s="153"/>
      <c r="C46" s="152"/>
      <c r="D46" s="160"/>
    </row>
    <row r="47" spans="1:4" ht="15" hidden="1">
      <c r="A47" s="162" t="s">
        <v>821</v>
      </c>
      <c r="B47" s="163"/>
      <c r="C47" s="164"/>
      <c r="D47" s="165">
        <f>SUM(D33:D46)</f>
        <v>416571.75</v>
      </c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4" ht="15">
      <c r="A51" s="71"/>
      <c r="B51" s="11"/>
      <c r="C51" s="11"/>
      <c r="D51" s="11"/>
    </row>
    <row r="52" spans="1:3" ht="15.75">
      <c r="A52" s="187" t="s">
        <v>921</v>
      </c>
      <c r="B52" s="187"/>
      <c r="C52" s="187" t="s">
        <v>889</v>
      </c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9" ht="15.75">
      <c r="A59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99CC"/>
  </sheetPr>
  <dimension ref="A3:H97"/>
  <sheetViews>
    <sheetView zoomScalePageLayoutView="0" workbookViewId="0" topLeftCell="A1">
      <selection activeCell="A17" sqref="A17:D1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11.8515625" style="0" hidden="1" customWidth="1"/>
    <col min="6" max="6" width="0" style="0" hidden="1" customWidth="1"/>
  </cols>
  <sheetData>
    <row r="1" ht="12.75"/>
    <row r="2" ht="12.75"/>
    <row r="3" spans="3:4" ht="12.75">
      <c r="C3" s="1382" t="s">
        <v>792</v>
      </c>
      <c r="D3" s="1382"/>
    </row>
    <row r="4" spans="1:4" ht="22.5">
      <c r="A4" s="1365" t="s">
        <v>687</v>
      </c>
      <c r="B4" s="1365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2" customHeight="1">
      <c r="A8" s="417"/>
      <c r="B8" s="417"/>
      <c r="C8"/>
    </row>
    <row r="9" spans="1:4" ht="18" customHeight="1">
      <c r="A9" s="1343" t="s">
        <v>322</v>
      </c>
      <c r="B9" s="1343"/>
      <c r="C9" s="139"/>
      <c r="D9" s="139"/>
    </row>
    <row r="10" spans="1:4" ht="12.75">
      <c r="A10" s="1353" t="s">
        <v>642</v>
      </c>
      <c r="B10" s="1325"/>
      <c r="C10" s="1366" t="s">
        <v>488</v>
      </c>
      <c r="D10" s="1367"/>
    </row>
    <row r="11" spans="1:4" ht="12.75">
      <c r="A11" s="1326"/>
      <c r="B11" s="1307"/>
      <c r="C11" s="1368"/>
      <c r="D11" s="1369"/>
    </row>
    <row r="12" spans="1:4" ht="15">
      <c r="A12" s="1361" t="s">
        <v>347</v>
      </c>
      <c r="B12" s="1362"/>
      <c r="C12" s="1323">
        <v>105725.43</v>
      </c>
      <c r="D12" s="1379"/>
    </row>
    <row r="13" spans="1:4" ht="14.25">
      <c r="A13" s="1357" t="s">
        <v>486</v>
      </c>
      <c r="B13" s="1358"/>
      <c r="C13" s="1387">
        <v>313194.96</v>
      </c>
      <c r="D13" s="1388"/>
    </row>
    <row r="14" spans="1:4" ht="14.25">
      <c r="A14" s="1359" t="s">
        <v>485</v>
      </c>
      <c r="B14" s="1360"/>
      <c r="C14" s="1310">
        <v>283829.71</v>
      </c>
      <c r="D14" s="1311"/>
    </row>
    <row r="15" spans="1:4" ht="15">
      <c r="A15" s="1361" t="s">
        <v>348</v>
      </c>
      <c r="B15" s="1362"/>
      <c r="C15" s="1377">
        <f>C12+C13-C14</f>
        <v>135090.68</v>
      </c>
      <c r="D15" s="1378"/>
    </row>
    <row r="16" spans="1:4" ht="14.25">
      <c r="A16" s="1351" t="s">
        <v>498</v>
      </c>
      <c r="B16" s="1352"/>
      <c r="C16" s="1377">
        <v>273495.62</v>
      </c>
      <c r="D16" s="1378"/>
    </row>
    <row r="17" spans="1:4" ht="15.75">
      <c r="A17" s="1340" t="s">
        <v>650</v>
      </c>
      <c r="B17" s="1340"/>
      <c r="C17" s="1340"/>
      <c r="D17" s="1340"/>
    </row>
    <row r="18" spans="1:4" ht="15.75">
      <c r="A18" s="1340" t="s">
        <v>345</v>
      </c>
      <c r="B18" s="1340"/>
      <c r="C18" s="1340"/>
      <c r="D18" s="1340"/>
    </row>
    <row r="19" spans="1:4" ht="39" thickBot="1">
      <c r="A19" s="408" t="s">
        <v>468</v>
      </c>
      <c r="B19" s="451" t="s">
        <v>667</v>
      </c>
      <c r="C19" s="452" t="s">
        <v>673</v>
      </c>
      <c r="D19" s="453" t="s">
        <v>793</v>
      </c>
    </row>
    <row r="20" spans="1:4" ht="15.75">
      <c r="A20" s="565" t="s">
        <v>913</v>
      </c>
      <c r="B20" s="566"/>
      <c r="C20" s="564"/>
      <c r="D20" s="567"/>
    </row>
    <row r="21" spans="1:7" ht="38.25">
      <c r="A21" s="389" t="s">
        <v>105</v>
      </c>
      <c r="B21" s="447" t="s">
        <v>652</v>
      </c>
      <c r="C21" s="392"/>
      <c r="D21" s="393">
        <v>59448.12</v>
      </c>
      <c r="G21" s="553"/>
    </row>
    <row r="22" spans="1:7" ht="15">
      <c r="A22" s="537" t="s">
        <v>210</v>
      </c>
      <c r="B22" s="593"/>
      <c r="C22" s="395"/>
      <c r="D22" s="396">
        <v>3092.65</v>
      </c>
      <c r="G22" s="553"/>
    </row>
    <row r="23" spans="1:4" ht="15">
      <c r="A23" s="389" t="s">
        <v>654</v>
      </c>
      <c r="B23" s="449" t="s">
        <v>656</v>
      </c>
      <c r="C23" s="445" t="s">
        <v>801</v>
      </c>
      <c r="D23" s="393">
        <v>34829.63</v>
      </c>
    </row>
    <row r="24" spans="1:8" ht="24">
      <c r="A24" s="389" t="s">
        <v>14</v>
      </c>
      <c r="B24" s="399" t="s">
        <v>657</v>
      </c>
      <c r="C24" s="508"/>
      <c r="D24" s="393">
        <v>43541.55</v>
      </c>
      <c r="G24" s="552"/>
      <c r="H24" s="111"/>
    </row>
    <row r="25" spans="1:7" ht="15.75" thickBot="1">
      <c r="A25" s="675" t="s">
        <v>799</v>
      </c>
      <c r="B25" s="820" t="s">
        <v>661</v>
      </c>
      <c r="C25" s="820"/>
      <c r="D25" s="512">
        <v>16060.46</v>
      </c>
      <c r="G25" s="552"/>
    </row>
    <row r="26" spans="1:4" ht="15.75" thickBot="1">
      <c r="A26" s="805" t="s">
        <v>701</v>
      </c>
      <c r="B26" s="980"/>
      <c r="C26" s="796"/>
      <c r="D26" s="940">
        <v>156972.41</v>
      </c>
    </row>
    <row r="27" spans="1:4" ht="16.5" thickBot="1">
      <c r="A27" s="460" t="s">
        <v>914</v>
      </c>
      <c r="B27" s="461"/>
      <c r="C27" s="462"/>
      <c r="D27" s="463"/>
    </row>
    <row r="28" spans="1:4" ht="24">
      <c r="A28" s="808" t="s">
        <v>194</v>
      </c>
      <c r="B28" s="433" t="s">
        <v>920</v>
      </c>
      <c r="C28" s="443" t="s">
        <v>673</v>
      </c>
      <c r="D28" s="444" t="s">
        <v>793</v>
      </c>
    </row>
    <row r="29" spans="1:4" ht="15">
      <c r="A29" s="359" t="s">
        <v>203</v>
      </c>
      <c r="B29" s="365"/>
      <c r="C29" s="421">
        <v>1</v>
      </c>
      <c r="D29" s="431">
        <v>5691.64</v>
      </c>
    </row>
    <row r="30" spans="1:4" ht="15">
      <c r="A30" s="464"/>
      <c r="B30" s="365"/>
      <c r="C30" s="421"/>
      <c r="D30" s="421"/>
    </row>
    <row r="31" spans="1:4" ht="15.75" thickBot="1">
      <c r="A31" s="390"/>
      <c r="B31" s="651"/>
      <c r="C31" s="458"/>
      <c r="D31" s="459"/>
    </row>
    <row r="32" spans="1:4" ht="15.75" thickBot="1">
      <c r="A32" s="806" t="s">
        <v>701</v>
      </c>
      <c r="B32" s="811"/>
      <c r="C32" s="803"/>
      <c r="D32" s="858">
        <v>5691.64</v>
      </c>
    </row>
    <row r="33" spans="1:4" ht="15">
      <c r="A33" s="1045" t="s">
        <v>457</v>
      </c>
      <c r="B33" s="1042"/>
      <c r="C33" s="1043"/>
      <c r="D33" s="1044"/>
    </row>
    <row r="34" spans="1:4" ht="15">
      <c r="A34" s="377" t="s">
        <v>378</v>
      </c>
      <c r="B34" s="756"/>
      <c r="C34" s="421">
        <v>1</v>
      </c>
      <c r="D34" s="421">
        <v>26603</v>
      </c>
    </row>
    <row r="35" spans="1:4" ht="15">
      <c r="A35" s="359" t="s">
        <v>784</v>
      </c>
      <c r="B35" s="365"/>
      <c r="C35" s="421">
        <v>5</v>
      </c>
      <c r="D35" s="421">
        <v>3877.04</v>
      </c>
    </row>
    <row r="36" spans="1:4" ht="15">
      <c r="A36" s="359" t="s">
        <v>239</v>
      </c>
      <c r="B36" s="365" t="s">
        <v>40</v>
      </c>
      <c r="C36" s="423">
        <v>1</v>
      </c>
      <c r="D36" s="422">
        <v>1593.56</v>
      </c>
    </row>
    <row r="37" spans="1:4" ht="15.75" thickBot="1">
      <c r="A37" s="807" t="s">
        <v>785</v>
      </c>
      <c r="B37" s="365" t="s">
        <v>211</v>
      </c>
      <c r="C37" s="439">
        <v>1</v>
      </c>
      <c r="D37" s="425">
        <v>2909.9</v>
      </c>
    </row>
    <row r="38" spans="1:4" ht="15.75" thickBot="1">
      <c r="A38" s="806" t="s">
        <v>701</v>
      </c>
      <c r="B38" s="666"/>
      <c r="C38" s="1080"/>
      <c r="D38" s="533">
        <v>34983.5</v>
      </c>
    </row>
    <row r="39" spans="1:4" ht="15">
      <c r="A39" s="808" t="s">
        <v>780</v>
      </c>
      <c r="B39" s="365"/>
      <c r="C39" s="441"/>
      <c r="D39" s="810"/>
    </row>
    <row r="40" spans="1:4" ht="15">
      <c r="A40" s="359" t="s">
        <v>786</v>
      </c>
      <c r="B40" s="365" t="s">
        <v>211</v>
      </c>
      <c r="C40" s="421">
        <v>1</v>
      </c>
      <c r="D40" s="425">
        <v>2032.4</v>
      </c>
    </row>
    <row r="41" spans="1:4" ht="15">
      <c r="A41" s="807" t="s">
        <v>303</v>
      </c>
      <c r="B41" s="758" t="s">
        <v>40</v>
      </c>
      <c r="C41" s="439">
        <v>1</v>
      </c>
      <c r="D41" s="425">
        <v>486.55</v>
      </c>
    </row>
    <row r="42" spans="1:4" ht="15">
      <c r="A42" s="807" t="s">
        <v>727</v>
      </c>
      <c r="B42" s="758"/>
      <c r="C42" s="439">
        <v>2</v>
      </c>
      <c r="D42" s="425">
        <v>1133.33</v>
      </c>
    </row>
    <row r="43" spans="1:4" ht="15.75" thickBot="1">
      <c r="A43" s="807" t="s">
        <v>174</v>
      </c>
      <c r="B43" s="758" t="s">
        <v>40</v>
      </c>
      <c r="C43" s="439">
        <v>1</v>
      </c>
      <c r="D43" s="424">
        <v>1621.42</v>
      </c>
    </row>
    <row r="44" spans="1:4" ht="15.75" thickBot="1">
      <c r="A44" s="901" t="s">
        <v>701</v>
      </c>
      <c r="B44" s="875"/>
      <c r="C44" s="803"/>
      <c r="D44" s="863">
        <v>5273.7</v>
      </c>
    </row>
    <row r="45" spans="1:4" ht="15">
      <c r="A45" s="1081"/>
      <c r="B45" s="570"/>
      <c r="C45" s="441"/>
      <c r="D45" s="877"/>
    </row>
    <row r="46" spans="1:4" ht="15">
      <c r="A46" s="838" t="s">
        <v>458</v>
      </c>
      <c r="B46" s="365"/>
      <c r="C46" s="421"/>
      <c r="D46" s="428">
        <v>45948.84</v>
      </c>
    </row>
    <row r="47" spans="1:4" ht="15.75">
      <c r="A47" s="547"/>
      <c r="B47" s="570"/>
      <c r="C47" s="441"/>
      <c r="D47" s="810"/>
    </row>
    <row r="48" spans="1:4" ht="15">
      <c r="A48" s="1097" t="s">
        <v>453</v>
      </c>
      <c r="B48" s="365"/>
      <c r="C48" s="421"/>
      <c r="D48" s="1089">
        <v>12982.62</v>
      </c>
    </row>
    <row r="49" spans="1:4" ht="15">
      <c r="A49" s="944" t="s">
        <v>904</v>
      </c>
      <c r="B49" s="365"/>
      <c r="C49" s="421"/>
      <c r="D49" s="891">
        <v>7081</v>
      </c>
    </row>
    <row r="50" spans="1:4" ht="15">
      <c r="A50" s="465" t="s">
        <v>735</v>
      </c>
      <c r="B50" s="757"/>
      <c r="C50" s="427"/>
      <c r="D50" s="428">
        <v>50510.75</v>
      </c>
    </row>
    <row r="51" spans="1:4" ht="15.75" thickBot="1">
      <c r="A51" s="902"/>
      <c r="B51" s="1065"/>
      <c r="C51" s="435"/>
      <c r="D51" s="1077"/>
    </row>
    <row r="52" spans="1:4" ht="15.75" thickBot="1">
      <c r="A52" s="879" t="s">
        <v>918</v>
      </c>
      <c r="B52" s="1082"/>
      <c r="C52" s="803"/>
      <c r="D52" s="863">
        <v>273495.62</v>
      </c>
    </row>
    <row r="53" spans="1:4" ht="15">
      <c r="A53" s="838"/>
      <c r="B53" s="757"/>
      <c r="C53" s="441"/>
      <c r="D53" s="877"/>
    </row>
    <row r="54" spans="1:4" ht="15">
      <c r="A54" s="1251" t="s">
        <v>568</v>
      </c>
      <c r="B54" s="1257"/>
      <c r="C54" s="467"/>
      <c r="D54" s="467">
        <v>0</v>
      </c>
    </row>
    <row r="55" spans="1:4" ht="15">
      <c r="A55" s="1332" t="s">
        <v>569</v>
      </c>
      <c r="B55" s="1332"/>
      <c r="C55" s="628"/>
      <c r="D55" s="608">
        <v>283829.71</v>
      </c>
    </row>
    <row r="56" spans="1:4" ht="15">
      <c r="A56" s="1332" t="s">
        <v>570</v>
      </c>
      <c r="B56" s="1332"/>
      <c r="C56" s="607"/>
      <c r="D56" s="608">
        <v>273495.62</v>
      </c>
    </row>
    <row r="57" spans="1:4" ht="15">
      <c r="A57" s="1333" t="s">
        <v>571</v>
      </c>
      <c r="B57" s="1333"/>
      <c r="C57" s="629"/>
      <c r="D57" s="629">
        <v>-10334.09</v>
      </c>
    </row>
    <row r="58" spans="1:4" ht="15">
      <c r="A58" s="1386" t="s">
        <v>179</v>
      </c>
      <c r="B58" s="1386"/>
      <c r="C58" s="1305"/>
      <c r="D58" s="1306">
        <v>-10334.09</v>
      </c>
    </row>
    <row r="59" spans="1:4" ht="15">
      <c r="A59" s="572"/>
      <c r="B59" s="621"/>
      <c r="C59" s="661"/>
      <c r="D59" s="573"/>
    </row>
    <row r="60" spans="1:4" ht="15">
      <c r="A60" s="572"/>
      <c r="B60" s="621"/>
      <c r="C60" s="661"/>
      <c r="D60" s="573"/>
    </row>
    <row r="61" spans="1:4" ht="15">
      <c r="A61" s="436"/>
      <c r="B61" s="436"/>
      <c r="C61" s="437"/>
      <c r="D61" s="495"/>
    </row>
    <row r="62" spans="1:4" ht="15">
      <c r="A62" s="419" t="s">
        <v>356</v>
      </c>
      <c r="B62"/>
      <c r="C62" s="596" t="s">
        <v>769</v>
      </c>
      <c r="D62" s="11"/>
    </row>
    <row r="64" ht="12.75">
      <c r="A64" s="735" t="s">
        <v>357</v>
      </c>
    </row>
    <row r="65" ht="12.75">
      <c r="A65" s="735" t="s">
        <v>906</v>
      </c>
    </row>
    <row r="66" ht="12.75">
      <c r="A66" s="735" t="s">
        <v>358</v>
      </c>
    </row>
    <row r="95" ht="12.75">
      <c r="A95" s="735"/>
    </row>
    <row r="96" ht="12.75">
      <c r="A96" s="735"/>
    </row>
    <row r="97" ht="12.75">
      <c r="A97" s="735"/>
    </row>
  </sheetData>
  <sheetProtection/>
  <mergeCells count="24">
    <mergeCell ref="A18:D18"/>
    <mergeCell ref="C10:D11"/>
    <mergeCell ref="C13:D13"/>
    <mergeCell ref="C14:D14"/>
    <mergeCell ref="C15:D15"/>
    <mergeCell ref="C16:D16"/>
    <mergeCell ref="A12:B12"/>
    <mergeCell ref="C12:D12"/>
    <mergeCell ref="A14:B14"/>
    <mergeCell ref="A15:B15"/>
    <mergeCell ref="A16:B16"/>
    <mergeCell ref="A17:D17"/>
    <mergeCell ref="A7:B7"/>
    <mergeCell ref="A9:B9"/>
    <mergeCell ref="A10:B11"/>
    <mergeCell ref="A13:B13"/>
    <mergeCell ref="C3:D3"/>
    <mergeCell ref="A4:B4"/>
    <mergeCell ref="A5:B5"/>
    <mergeCell ref="A6:B6"/>
    <mergeCell ref="A55:B55"/>
    <mergeCell ref="A56:B56"/>
    <mergeCell ref="A57:B57"/>
    <mergeCell ref="A58:B58"/>
  </mergeCells>
  <printOptions/>
  <pageMargins left="0.1968503937007874" right="0" top="0" bottom="0" header="0.31496062992125984" footer="0.31496062992125984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99CC"/>
  </sheetPr>
  <dimension ref="A3:D65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ht="12.75"/>
    <row r="2" ht="12.75"/>
    <row r="3" spans="3:4" ht="12.75">
      <c r="C3" s="1382" t="s">
        <v>792</v>
      </c>
      <c r="D3" s="1382"/>
    </row>
    <row r="4" spans="1:4" ht="22.5">
      <c r="A4" s="1365" t="s">
        <v>687</v>
      </c>
      <c r="B4" s="1365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2" customHeight="1">
      <c r="A8" s="417"/>
      <c r="B8" s="417"/>
      <c r="C8"/>
    </row>
    <row r="9" spans="1:4" ht="15">
      <c r="A9" s="1343" t="s">
        <v>325</v>
      </c>
      <c r="B9" s="1343"/>
      <c r="C9" s="139"/>
      <c r="D9" s="139"/>
    </row>
    <row r="10" spans="1:4" ht="14.25">
      <c r="A10" s="418"/>
      <c r="B10" s="418"/>
      <c r="C10" s="139"/>
      <c r="D10" s="139"/>
    </row>
    <row r="11" spans="1:4" ht="12.75">
      <c r="A11" s="4"/>
      <c r="B11"/>
      <c r="C11"/>
      <c r="D11" s="8"/>
    </row>
    <row r="12" spans="1:4" ht="12.75" customHeight="1">
      <c r="A12" s="1353" t="s">
        <v>642</v>
      </c>
      <c r="B12" s="1325"/>
      <c r="C12" s="1366" t="s">
        <v>488</v>
      </c>
      <c r="D12" s="1367"/>
    </row>
    <row r="13" spans="1:4" ht="12.75">
      <c r="A13" s="1326"/>
      <c r="B13" s="1307"/>
      <c r="C13" s="1368"/>
      <c r="D13" s="1369"/>
    </row>
    <row r="14" spans="1:4" ht="15">
      <c r="A14" s="1361" t="s">
        <v>347</v>
      </c>
      <c r="B14" s="1362"/>
      <c r="C14" s="1323">
        <v>44073.39</v>
      </c>
      <c r="D14" s="1379"/>
    </row>
    <row r="15" spans="1:4" ht="14.25">
      <c r="A15" s="1357" t="s">
        <v>486</v>
      </c>
      <c r="B15" s="1358"/>
      <c r="C15" s="1387">
        <v>291710.76</v>
      </c>
      <c r="D15" s="1388"/>
    </row>
    <row r="16" spans="1:4" ht="14.25">
      <c r="A16" s="1359" t="s">
        <v>485</v>
      </c>
      <c r="B16" s="1360"/>
      <c r="C16" s="1375">
        <v>268456.02</v>
      </c>
      <c r="D16" s="1376"/>
    </row>
    <row r="17" spans="1:4" ht="15">
      <c r="A17" s="1361" t="s">
        <v>348</v>
      </c>
      <c r="B17" s="1362"/>
      <c r="C17" s="1377">
        <f>C14+C15-C16</f>
        <v>67328.13</v>
      </c>
      <c r="D17" s="1378"/>
    </row>
    <row r="18" spans="1:4" ht="14.25">
      <c r="A18" s="1351" t="s">
        <v>539</v>
      </c>
      <c r="B18" s="1352"/>
      <c r="C18" s="1377">
        <v>307596.13</v>
      </c>
      <c r="D18" s="1378"/>
    </row>
    <row r="19" spans="1:4" ht="14.25">
      <c r="A19" s="538"/>
      <c r="B19" s="538"/>
      <c r="C19" s="539"/>
      <c r="D19" s="539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345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39" thickBot="1">
      <c r="A23" s="408" t="s">
        <v>468</v>
      </c>
      <c r="B23" s="451" t="s">
        <v>667</v>
      </c>
      <c r="C23" s="452" t="s">
        <v>673</v>
      </c>
      <c r="D23" s="453" t="s">
        <v>793</v>
      </c>
    </row>
    <row r="24" spans="1:4" ht="16.5" thickBot="1">
      <c r="A24" s="454" t="s">
        <v>913</v>
      </c>
      <c r="B24" s="455"/>
      <c r="C24" s="456"/>
      <c r="D24" s="468"/>
    </row>
    <row r="25" spans="1:4" ht="38.25">
      <c r="A25" s="537" t="s">
        <v>105</v>
      </c>
      <c r="B25" s="517" t="s">
        <v>652</v>
      </c>
      <c r="C25" s="568"/>
      <c r="D25" s="569">
        <v>51178.78</v>
      </c>
    </row>
    <row r="26" spans="1:4" ht="15">
      <c r="A26" s="389" t="s">
        <v>654</v>
      </c>
      <c r="B26" s="449" t="s">
        <v>656</v>
      </c>
      <c r="C26" s="445" t="s">
        <v>801</v>
      </c>
      <c r="D26" s="393">
        <v>29984.76</v>
      </c>
    </row>
    <row r="27" spans="1:4" ht="24">
      <c r="A27" s="389" t="s">
        <v>14</v>
      </c>
      <c r="B27" s="399" t="s">
        <v>657</v>
      </c>
      <c r="C27" s="508"/>
      <c r="D27" s="393">
        <v>37484.84</v>
      </c>
    </row>
    <row r="28" spans="1:4" ht="15">
      <c r="A28" s="537" t="s">
        <v>210</v>
      </c>
      <c r="B28" s="450"/>
      <c r="C28" s="404"/>
      <c r="D28" s="396">
        <v>2662.45</v>
      </c>
    </row>
    <row r="29" spans="1:4" ht="15.75" thickBot="1">
      <c r="A29" s="390" t="s">
        <v>799</v>
      </c>
      <c r="B29" s="1103" t="s">
        <v>661</v>
      </c>
      <c r="C29" s="674"/>
      <c r="D29" s="459">
        <v>20525.61</v>
      </c>
    </row>
    <row r="30" spans="1:4" ht="15.75" thickBot="1">
      <c r="A30" s="805" t="s">
        <v>918</v>
      </c>
      <c r="B30" s="980"/>
      <c r="C30" s="796"/>
      <c r="D30" s="940">
        <v>141836.44</v>
      </c>
    </row>
    <row r="31" spans="1:4" ht="16.5" thickBot="1">
      <c r="A31" s="460" t="s">
        <v>914</v>
      </c>
      <c r="B31" s="461"/>
      <c r="C31" s="462"/>
      <c r="D31" s="463"/>
    </row>
    <row r="32" spans="1:4" ht="24">
      <c r="A32" s="808" t="s">
        <v>194</v>
      </c>
      <c r="B32" s="433" t="s">
        <v>920</v>
      </c>
      <c r="C32" s="443" t="s">
        <v>673</v>
      </c>
      <c r="D32" s="444" t="s">
        <v>793</v>
      </c>
    </row>
    <row r="33" spans="1:4" ht="15">
      <c r="A33" s="377" t="s">
        <v>989</v>
      </c>
      <c r="B33" s="358"/>
      <c r="C33" s="421"/>
      <c r="D33" s="421">
        <v>51919.72</v>
      </c>
    </row>
    <row r="34" spans="1:4" ht="28.5">
      <c r="A34" s="537" t="s">
        <v>788</v>
      </c>
      <c r="B34" s="365" t="s">
        <v>478</v>
      </c>
      <c r="C34" s="421">
        <v>1</v>
      </c>
      <c r="D34" s="421">
        <v>788.37</v>
      </c>
    </row>
    <row r="35" spans="1:4" ht="15.75" thickBot="1">
      <c r="A35" s="799" t="s">
        <v>11</v>
      </c>
      <c r="B35" s="758"/>
      <c r="C35" s="439"/>
      <c r="D35" s="541">
        <v>4899.92</v>
      </c>
    </row>
    <row r="36" spans="1:4" ht="15.75" thickBot="1">
      <c r="A36" s="805" t="s">
        <v>701</v>
      </c>
      <c r="B36" s="817"/>
      <c r="C36" s="1020"/>
      <c r="D36" s="940">
        <v>57608.01</v>
      </c>
    </row>
    <row r="37" spans="1:4" ht="15">
      <c r="A37" s="465" t="s">
        <v>457</v>
      </c>
      <c r="B37" s="800"/>
      <c r="C37" s="441"/>
      <c r="D37" s="441"/>
    </row>
    <row r="38" spans="1:4" ht="15">
      <c r="A38" s="799" t="s">
        <v>378</v>
      </c>
      <c r="B38" s="1104"/>
      <c r="C38" s="836"/>
      <c r="D38" s="836">
        <v>26603</v>
      </c>
    </row>
    <row r="39" spans="1:4" ht="15.75" thickBot="1">
      <c r="A39" s="807" t="s">
        <v>393</v>
      </c>
      <c r="B39" s="758"/>
      <c r="C39" s="809">
        <v>3</v>
      </c>
      <c r="D39" s="439">
        <v>3103.51</v>
      </c>
    </row>
    <row r="40" spans="1:4" ht="15.75" thickBot="1">
      <c r="A40" s="806" t="s">
        <v>789</v>
      </c>
      <c r="B40" s="811"/>
      <c r="C40" s="812"/>
      <c r="D40" s="863">
        <v>29706.51</v>
      </c>
    </row>
    <row r="41" spans="1:4" ht="15">
      <c r="A41" s="808" t="s">
        <v>192</v>
      </c>
      <c r="B41" s="570"/>
      <c r="C41" s="946"/>
      <c r="D41" s="896"/>
    </row>
    <row r="42" spans="1:4" ht="16.5" thickBot="1">
      <c r="A42" s="942" t="s">
        <v>479</v>
      </c>
      <c r="B42" s="758" t="s">
        <v>52</v>
      </c>
      <c r="C42" s="809">
        <v>1</v>
      </c>
      <c r="D42" s="424">
        <v>1320.39</v>
      </c>
    </row>
    <row r="43" spans="1:4" ht="16.5" thickBot="1">
      <c r="A43" s="829" t="s">
        <v>701</v>
      </c>
      <c r="B43" s="811"/>
      <c r="C43" s="803"/>
      <c r="D43" s="533">
        <v>1320.39</v>
      </c>
    </row>
    <row r="44" spans="1:4" ht="15.75" thickBot="1">
      <c r="A44" s="799"/>
      <c r="B44" s="834"/>
      <c r="C44" s="836"/>
      <c r="D44" s="810"/>
    </row>
    <row r="45" spans="1:4" ht="15.75" thickBot="1">
      <c r="A45" s="806" t="s">
        <v>458</v>
      </c>
      <c r="B45" s="811"/>
      <c r="C45" s="907"/>
      <c r="D45" s="932">
        <v>88634.91</v>
      </c>
    </row>
    <row r="46" spans="1:4" ht="15">
      <c r="A46" s="377"/>
      <c r="B46" s="570"/>
      <c r="C46" s="1102"/>
      <c r="D46" s="835"/>
    </row>
    <row r="47" spans="1:4" ht="15">
      <c r="A47" s="944" t="s">
        <v>453</v>
      </c>
      <c r="B47" s="365"/>
      <c r="C47" s="615"/>
      <c r="D47" s="869">
        <v>11103.15</v>
      </c>
    </row>
    <row r="48" spans="1:4" ht="15">
      <c r="A48" s="944" t="s">
        <v>904</v>
      </c>
      <c r="B48" s="365"/>
      <c r="C48" s="421"/>
      <c r="D48" s="1101">
        <v>9213</v>
      </c>
    </row>
    <row r="49" spans="1:4" ht="15">
      <c r="A49" s="944" t="s">
        <v>787</v>
      </c>
      <c r="B49" s="365"/>
      <c r="C49" s="359"/>
      <c r="D49" s="1101">
        <v>56808.63</v>
      </c>
    </row>
    <row r="50" spans="1:4" ht="15.75" thickBot="1">
      <c r="A50" s="1014"/>
      <c r="B50" s="758"/>
      <c r="C50" s="439"/>
      <c r="D50" s="425"/>
    </row>
    <row r="51" spans="1:4" ht="15.75" thickBot="1">
      <c r="A51" s="806" t="s">
        <v>918</v>
      </c>
      <c r="B51" s="811"/>
      <c r="C51" s="803"/>
      <c r="D51" s="892">
        <v>307596.13</v>
      </c>
    </row>
    <row r="52" spans="1:4" ht="15">
      <c r="A52" s="436"/>
      <c r="B52" s="436"/>
      <c r="C52" s="437"/>
      <c r="D52" s="495"/>
    </row>
    <row r="53" spans="1:4" ht="15">
      <c r="A53" s="1251" t="s">
        <v>568</v>
      </c>
      <c r="B53" s="1257"/>
      <c r="C53" s="467"/>
      <c r="D53" s="467">
        <v>0</v>
      </c>
    </row>
    <row r="54" spans="1:4" ht="15">
      <c r="A54" s="1332" t="s">
        <v>569</v>
      </c>
      <c r="B54" s="1332"/>
      <c r="C54" s="628"/>
      <c r="D54" s="608">
        <v>268456.02</v>
      </c>
    </row>
    <row r="55" spans="1:4" ht="15">
      <c r="A55" s="1332" t="s">
        <v>570</v>
      </c>
      <c r="B55" s="1332"/>
      <c r="C55" s="607"/>
      <c r="D55" s="608">
        <v>307596.13</v>
      </c>
    </row>
    <row r="56" spans="1:4" ht="15">
      <c r="A56" s="1333" t="s">
        <v>571</v>
      </c>
      <c r="B56" s="1333"/>
      <c r="C56" s="629"/>
      <c r="D56" s="629">
        <v>39140.11</v>
      </c>
    </row>
    <row r="57" spans="1:4" ht="15">
      <c r="A57" s="1332" t="s">
        <v>179</v>
      </c>
      <c r="B57" s="1332"/>
      <c r="C57" s="1258"/>
      <c r="D57" s="630">
        <v>39140.11</v>
      </c>
    </row>
    <row r="60" spans="1:3" ht="12.75">
      <c r="A60" s="1" t="s">
        <v>181</v>
      </c>
      <c r="C60" s="1" t="s">
        <v>573</v>
      </c>
    </row>
    <row r="63" ht="12.75">
      <c r="A63" s="735" t="s">
        <v>357</v>
      </c>
    </row>
    <row r="64" ht="12.75">
      <c r="A64" s="735" t="s">
        <v>906</v>
      </c>
    </row>
    <row r="65" ht="12.75">
      <c r="A65" s="735" t="s">
        <v>358</v>
      </c>
    </row>
  </sheetData>
  <sheetProtection/>
  <mergeCells count="24">
    <mergeCell ref="A16:B16"/>
    <mergeCell ref="C16:D16"/>
    <mergeCell ref="A17:B17"/>
    <mergeCell ref="C17:D17"/>
    <mergeCell ref="A18:B18"/>
    <mergeCell ref="C18:D18"/>
    <mergeCell ref="A20:D20"/>
    <mergeCell ref="A21:D21"/>
    <mergeCell ref="A7:B7"/>
    <mergeCell ref="A9:B9"/>
    <mergeCell ref="A12:B13"/>
    <mergeCell ref="C12:D13"/>
    <mergeCell ref="A14:B14"/>
    <mergeCell ref="C14:D14"/>
    <mergeCell ref="A15:B15"/>
    <mergeCell ref="C15:D15"/>
    <mergeCell ref="C3:D3"/>
    <mergeCell ref="A4:B4"/>
    <mergeCell ref="A5:B5"/>
    <mergeCell ref="A6:B6"/>
    <mergeCell ref="A54:B54"/>
    <mergeCell ref="A55:B55"/>
    <mergeCell ref="A56:B56"/>
    <mergeCell ref="A57:B5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1">
      <selection activeCell="A34" sqref="A34:IV34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  <col min="6" max="6" width="10.8515625" style="0" bestFit="1" customWidth="1"/>
  </cols>
  <sheetData>
    <row r="1" ht="12.75">
      <c r="C1" s="1" t="s">
        <v>792</v>
      </c>
    </row>
    <row r="2" spans="1:4" ht="19.5" customHeight="1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9.75" customHeight="1">
      <c r="A6" s="26"/>
      <c r="B6" s="26"/>
      <c r="C6"/>
    </row>
    <row r="7" spans="1:4" ht="15">
      <c r="A7" s="1343" t="s">
        <v>923</v>
      </c>
      <c r="B7" s="1343"/>
      <c r="C7" s="139"/>
      <c r="D7" s="139"/>
    </row>
    <row r="8" spans="1:3" ht="7.5" customHeight="1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v>87521.68</v>
      </c>
      <c r="D11" s="136">
        <v>97036.91</v>
      </c>
    </row>
    <row r="12" spans="1:4" ht="15.75" thickBot="1">
      <c r="A12" s="1341" t="s">
        <v>646</v>
      </c>
      <c r="B12" s="1342"/>
      <c r="C12" s="137">
        <v>596110.36</v>
      </c>
      <c r="D12" s="136">
        <v>620833.42</v>
      </c>
    </row>
    <row r="13" spans="1:4" ht="15.75" thickBot="1">
      <c r="A13" s="1341" t="s">
        <v>647</v>
      </c>
      <c r="B13" s="1342"/>
      <c r="C13" s="135">
        <v>571115.84</v>
      </c>
      <c r="D13" s="136">
        <v>605354.13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112516.20000000007</v>
      </c>
      <c r="D15" s="136">
        <f>D11+D12-D13</f>
        <v>112516.20000000007</v>
      </c>
    </row>
    <row r="16" spans="1:4" ht="15.75" thickBot="1">
      <c r="A16" s="1341" t="s">
        <v>806</v>
      </c>
      <c r="B16" s="1342"/>
      <c r="C16" s="170">
        <f>D22+D50</f>
        <v>688660.78</v>
      </c>
      <c r="D16" s="138"/>
    </row>
    <row r="17" spans="2:3" ht="7.5" customHeight="1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5.25" customHeight="1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D23+D24+D25+D26+D27+D29+D28</f>
        <v>440486.11</v>
      </c>
    </row>
    <row r="23" spans="1:4" ht="26.25" thickBot="1">
      <c r="A23" s="166" t="s">
        <v>662</v>
      </c>
      <c r="B23" s="64" t="s">
        <v>652</v>
      </c>
      <c r="C23" s="45"/>
      <c r="D23" s="171">
        <v>243169.13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91149.69</v>
      </c>
    </row>
    <row r="25" spans="1:4" ht="25.5" thickBot="1">
      <c r="A25" s="133" t="s">
        <v>658</v>
      </c>
      <c r="B25" s="168" t="s">
        <v>657</v>
      </c>
      <c r="C25" s="145"/>
      <c r="D25" s="171">
        <v>69692.12</v>
      </c>
    </row>
    <row r="26" spans="1:4" ht="15.75" thickBot="1">
      <c r="A26" s="133" t="s">
        <v>799</v>
      </c>
      <c r="B26" s="181" t="s">
        <v>661</v>
      </c>
      <c r="C26" s="182"/>
      <c r="D26" s="183">
        <v>9102.81</v>
      </c>
    </row>
    <row r="27" spans="1:4" ht="15.75" thickBot="1">
      <c r="A27" s="133" t="s">
        <v>879</v>
      </c>
      <c r="B27" s="181" t="s">
        <v>661</v>
      </c>
      <c r="C27" s="182"/>
      <c r="D27" s="183">
        <v>2280.07</v>
      </c>
    </row>
    <row r="28" spans="1:4" ht="15.75" thickBot="1">
      <c r="A28" s="189" t="s">
        <v>931</v>
      </c>
      <c r="B28" s="181" t="s">
        <v>661</v>
      </c>
      <c r="C28" s="182"/>
      <c r="D28" s="183">
        <v>2590.41</v>
      </c>
    </row>
    <row r="29" spans="1:4" ht="15.75" thickBot="1">
      <c r="A29" s="147" t="s">
        <v>685</v>
      </c>
      <c r="B29" s="184" t="s">
        <v>817</v>
      </c>
      <c r="C29" s="45" t="s">
        <v>801</v>
      </c>
      <c r="D29" s="186">
        <v>22501.88</v>
      </c>
    </row>
    <row r="30" spans="1:4" ht="15.75" thickBot="1">
      <c r="A30" s="148" t="s">
        <v>760</v>
      </c>
      <c r="B30" s="149"/>
      <c r="C30" s="139"/>
      <c r="D30" s="175">
        <f>D32+D33+D34+D35+D37+D38+D39+D40+D41+D43+D45+D46+D47+D48+D42</f>
        <v>248174.67000000004</v>
      </c>
    </row>
    <row r="31" spans="1:4" ht="24.75" thickBot="1">
      <c r="A31" s="150" t="s">
        <v>672</v>
      </c>
      <c r="B31" s="15" t="s">
        <v>920</v>
      </c>
      <c r="C31" s="49" t="s">
        <v>673</v>
      </c>
      <c r="D31" s="176" t="s">
        <v>793</v>
      </c>
    </row>
    <row r="32" spans="1:4" ht="14.25">
      <c r="A32" s="156" t="s">
        <v>816</v>
      </c>
      <c r="B32" s="74" t="s">
        <v>661</v>
      </c>
      <c r="C32" s="153"/>
      <c r="D32" s="177">
        <v>13076.08</v>
      </c>
    </row>
    <row r="33" spans="1:4" ht="14.25">
      <c r="A33" s="188" t="s">
        <v>928</v>
      </c>
      <c r="B33" s="74" t="s">
        <v>661</v>
      </c>
      <c r="C33" s="153"/>
      <c r="D33" s="177">
        <f>7543.94+271.48</f>
        <v>7815.42</v>
      </c>
    </row>
    <row r="34" spans="1:4" ht="14.25" hidden="1">
      <c r="A34" s="188" t="s">
        <v>930</v>
      </c>
      <c r="B34" s="74" t="s">
        <v>661</v>
      </c>
      <c r="C34" s="153"/>
      <c r="D34" s="177">
        <f>271.48-271.48</f>
        <v>0</v>
      </c>
    </row>
    <row r="35" spans="1:4" ht="14.25">
      <c r="A35" s="188" t="s">
        <v>933</v>
      </c>
      <c r="B35" s="74" t="s">
        <v>661</v>
      </c>
      <c r="C35" s="153"/>
      <c r="D35" s="177">
        <v>1642.46</v>
      </c>
    </row>
    <row r="36" spans="1:4" ht="14.25">
      <c r="A36" s="151" t="s">
        <v>676</v>
      </c>
      <c r="B36" s="116"/>
      <c r="C36" s="153"/>
      <c r="D36" s="177"/>
    </row>
    <row r="37" spans="1:4" ht="14.25">
      <c r="A37" s="157" t="s">
        <v>815</v>
      </c>
      <c r="B37" s="74" t="s">
        <v>661</v>
      </c>
      <c r="C37" s="153"/>
      <c r="D37" s="178">
        <f>608.24+5807</f>
        <v>6415.24</v>
      </c>
    </row>
    <row r="38" spans="1:4" ht="14.25">
      <c r="A38" s="132" t="s">
        <v>883</v>
      </c>
      <c r="B38" s="74" t="s">
        <v>661</v>
      </c>
      <c r="C38" s="153"/>
      <c r="D38" s="179">
        <v>68666.82</v>
      </c>
    </row>
    <row r="39" spans="1:4" ht="14.25">
      <c r="A39" s="157" t="s">
        <v>880</v>
      </c>
      <c r="B39" s="74" t="s">
        <v>661</v>
      </c>
      <c r="C39" s="153"/>
      <c r="D39" s="179">
        <v>6922.77</v>
      </c>
    </row>
    <row r="40" spans="1:4" ht="14.25">
      <c r="A40" s="157" t="s">
        <v>925</v>
      </c>
      <c r="B40" s="74" t="s">
        <v>661</v>
      </c>
      <c r="C40" s="153"/>
      <c r="D40" s="180">
        <f>74748.05</f>
        <v>74748.05</v>
      </c>
    </row>
    <row r="41" spans="1:4" ht="14.25">
      <c r="A41" s="157" t="s">
        <v>882</v>
      </c>
      <c r="B41" s="74" t="s">
        <v>661</v>
      </c>
      <c r="C41" s="153"/>
      <c r="D41" s="180">
        <v>26542.49</v>
      </c>
    </row>
    <row r="42" spans="1:4" ht="14.25">
      <c r="A42" s="157" t="s">
        <v>927</v>
      </c>
      <c r="B42" s="112"/>
      <c r="C42" s="152"/>
      <c r="D42" s="117">
        <v>11320.64</v>
      </c>
    </row>
    <row r="43" spans="1:4" ht="14.25" hidden="1">
      <c r="A43" s="190" t="s">
        <v>932</v>
      </c>
      <c r="B43" s="112"/>
      <c r="C43" s="152"/>
      <c r="D43" s="117">
        <f>5807-5807</f>
        <v>0</v>
      </c>
    </row>
    <row r="44" spans="1:4" ht="15">
      <c r="A44" s="151" t="s">
        <v>682</v>
      </c>
      <c r="B44" s="118"/>
      <c r="C44" s="153"/>
      <c r="D44" s="155"/>
    </row>
    <row r="45" spans="1:4" ht="14.25">
      <c r="A45" s="159" t="s">
        <v>884</v>
      </c>
      <c r="B45" s="74" t="s">
        <v>661</v>
      </c>
      <c r="C45" s="153"/>
      <c r="D45" s="160">
        <v>8949.55</v>
      </c>
    </row>
    <row r="46" spans="1:4" ht="14.25">
      <c r="A46" s="159" t="s">
        <v>886</v>
      </c>
      <c r="B46" s="74" t="s">
        <v>661</v>
      </c>
      <c r="C46" s="153"/>
      <c r="D46" s="160">
        <v>7284.94</v>
      </c>
    </row>
    <row r="47" spans="1:4" ht="14.25">
      <c r="A47" s="159" t="s">
        <v>888</v>
      </c>
      <c r="B47" s="74" t="s">
        <v>661</v>
      </c>
      <c r="C47" s="153"/>
      <c r="D47" s="160">
        <f>6359.47+1423.22+1899.41+2827.87+784.23</f>
        <v>13294.2</v>
      </c>
    </row>
    <row r="48" spans="1:4" ht="14.25">
      <c r="A48" s="159" t="s">
        <v>929</v>
      </c>
      <c r="B48" s="74" t="s">
        <v>661</v>
      </c>
      <c r="C48" s="152"/>
      <c r="D48" s="160">
        <v>1496.01</v>
      </c>
    </row>
    <row r="49" spans="1:4" ht="14.25" hidden="1">
      <c r="A49" s="157"/>
      <c r="B49" s="74" t="s">
        <v>661</v>
      </c>
      <c r="C49" s="152"/>
      <c r="D49" s="160"/>
    </row>
    <row r="50" spans="1:4" ht="15" hidden="1">
      <c r="A50" s="162" t="s">
        <v>821</v>
      </c>
      <c r="B50" s="74" t="s">
        <v>661</v>
      </c>
      <c r="C50" s="164"/>
      <c r="D50" s="165">
        <f>SUM(D32:D49)</f>
        <v>248174.67000000004</v>
      </c>
    </row>
    <row r="51" spans="1:4" ht="15">
      <c r="A51" s="71"/>
      <c r="B51" s="11"/>
      <c r="C51" s="11"/>
      <c r="D51" s="11"/>
    </row>
    <row r="52" spans="1:4" ht="15">
      <c r="A52" s="71"/>
      <c r="B52" s="11"/>
      <c r="C52" s="11"/>
      <c r="D52" s="11"/>
    </row>
    <row r="53" spans="1:4" ht="15">
      <c r="A53" s="71"/>
      <c r="B53" s="11"/>
      <c r="C53" s="11"/>
      <c r="D53" s="11"/>
    </row>
    <row r="54" spans="1:4" ht="15">
      <c r="A54" s="71"/>
      <c r="B54" s="11"/>
      <c r="C54" s="11"/>
      <c r="D54" s="11"/>
    </row>
    <row r="55" spans="1:3" ht="15.75">
      <c r="A55" s="187" t="s">
        <v>921</v>
      </c>
      <c r="B55" s="187"/>
      <c r="C55" s="187" t="s">
        <v>889</v>
      </c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0" ht="15.75">
      <c r="A60" s="6"/>
    </row>
    <row r="62" ht="15.75">
      <c r="A62" s="7"/>
    </row>
  </sheetData>
  <sheetProtection/>
  <mergeCells count="13">
    <mergeCell ref="A7:B7"/>
    <mergeCell ref="A9:B10"/>
    <mergeCell ref="A19:D19"/>
    <mergeCell ref="A12:B12"/>
    <mergeCell ref="A13:B13"/>
    <mergeCell ref="A14:B14"/>
    <mergeCell ref="A15:B15"/>
    <mergeCell ref="A16:B16"/>
    <mergeCell ref="A18:D18"/>
    <mergeCell ref="A2:B2"/>
    <mergeCell ref="A3:B3"/>
    <mergeCell ref="A4:B4"/>
    <mergeCell ref="A5:B5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99CC"/>
  </sheetPr>
  <dimension ref="A3:D9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0" style="0" hidden="1" customWidth="1"/>
    <col min="8" max="8" width="9.57421875" style="0" bestFit="1" customWidth="1"/>
  </cols>
  <sheetData>
    <row r="3" spans="3:4" ht="12.75">
      <c r="C3" s="1382" t="s">
        <v>792</v>
      </c>
      <c r="D3" s="1382"/>
    </row>
    <row r="4" spans="1:4" ht="22.5">
      <c r="A4" s="1365" t="s">
        <v>687</v>
      </c>
      <c r="B4" s="1365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3.5" customHeight="1">
      <c r="A8" s="417"/>
      <c r="B8" s="417"/>
      <c r="C8"/>
    </row>
    <row r="9" spans="1:4" ht="15">
      <c r="A9" s="1343" t="s">
        <v>326</v>
      </c>
      <c r="B9" s="1343"/>
      <c r="C9" s="139"/>
      <c r="D9" s="139"/>
    </row>
    <row r="10" spans="1:4" ht="14.25">
      <c r="A10" s="418"/>
      <c r="B10" s="418"/>
      <c r="C10" s="139"/>
      <c r="D10" s="139"/>
    </row>
    <row r="11" spans="1:4" ht="12.75" customHeight="1">
      <c r="A11" s="1353" t="s">
        <v>642</v>
      </c>
      <c r="B11" s="1325"/>
      <c r="C11" s="1366" t="s">
        <v>488</v>
      </c>
      <c r="D11" s="1367"/>
    </row>
    <row r="12" spans="1:4" ht="12.75">
      <c r="A12" s="1326"/>
      <c r="B12" s="1307"/>
      <c r="C12" s="1368"/>
      <c r="D12" s="1369"/>
    </row>
    <row r="13" spans="1:4" ht="15">
      <c r="A13" s="1361" t="s">
        <v>347</v>
      </c>
      <c r="B13" s="1362"/>
      <c r="C13" s="1323">
        <v>188757.1</v>
      </c>
      <c r="D13" s="1379"/>
    </row>
    <row r="14" spans="1:4" ht="14.25">
      <c r="A14" s="1357" t="s">
        <v>486</v>
      </c>
      <c r="B14" s="1358"/>
      <c r="C14" s="1387">
        <v>626304.23</v>
      </c>
      <c r="D14" s="1388"/>
    </row>
    <row r="15" spans="1:4" ht="14.25">
      <c r="A15" s="1359" t="s">
        <v>485</v>
      </c>
      <c r="B15" s="1360"/>
      <c r="C15" s="1375">
        <v>571857.25</v>
      </c>
      <c r="D15" s="1376"/>
    </row>
    <row r="16" spans="1:4" ht="15">
      <c r="A16" s="1361" t="s">
        <v>348</v>
      </c>
      <c r="B16" s="1362"/>
      <c r="C16" s="1377">
        <v>243204.08</v>
      </c>
      <c r="D16" s="1378"/>
    </row>
    <row r="17" spans="1:4" ht="14.25">
      <c r="A17" s="1351" t="s">
        <v>539</v>
      </c>
      <c r="B17" s="1352"/>
      <c r="C17" s="1377">
        <v>681766.19</v>
      </c>
      <c r="D17" s="1378"/>
    </row>
    <row r="18" spans="1:4" ht="14.25">
      <c r="A18" s="538"/>
      <c r="B18" s="538"/>
      <c r="C18" s="539"/>
      <c r="D18" s="539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345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408" t="s">
        <v>468</v>
      </c>
      <c r="B22" s="451" t="s">
        <v>667</v>
      </c>
      <c r="C22" s="452" t="s">
        <v>673</v>
      </c>
      <c r="D22" s="453" t="s">
        <v>793</v>
      </c>
    </row>
    <row r="23" spans="1:4" ht="16.5" thickBot="1">
      <c r="A23" s="454" t="s">
        <v>913</v>
      </c>
      <c r="B23" s="455"/>
      <c r="C23" s="456"/>
      <c r="D23" s="468"/>
    </row>
    <row r="24" spans="1:4" ht="26.25">
      <c r="A24" s="537" t="s">
        <v>105</v>
      </c>
      <c r="B24" s="446" t="s">
        <v>652</v>
      </c>
      <c r="C24" s="395"/>
      <c r="D24" s="396">
        <v>54295.52</v>
      </c>
    </row>
    <row r="25" spans="1:4" ht="15">
      <c r="A25" s="389" t="s">
        <v>654</v>
      </c>
      <c r="B25" s="449" t="s">
        <v>656</v>
      </c>
      <c r="C25" s="445" t="s">
        <v>801</v>
      </c>
      <c r="D25" s="393">
        <v>31810.81</v>
      </c>
    </row>
    <row r="26" spans="1:4" ht="24.75">
      <c r="A26" s="389" t="s">
        <v>14</v>
      </c>
      <c r="B26" s="399" t="s">
        <v>657</v>
      </c>
      <c r="C26" s="508"/>
      <c r="D26" s="393">
        <v>39767.63</v>
      </c>
    </row>
    <row r="27" spans="1:4" ht="15">
      <c r="A27" s="537" t="s">
        <v>406</v>
      </c>
      <c r="B27" s="450"/>
      <c r="C27" s="404"/>
      <c r="D27" s="396">
        <v>7276.6</v>
      </c>
    </row>
    <row r="28" spans="1:4" ht="15">
      <c r="A28" s="389" t="s">
        <v>909</v>
      </c>
      <c r="B28" s="448" t="s">
        <v>661</v>
      </c>
      <c r="C28" s="400"/>
      <c r="D28" s="393">
        <v>2474.2</v>
      </c>
    </row>
    <row r="29" spans="1:4" ht="15">
      <c r="A29" s="389" t="s">
        <v>799</v>
      </c>
      <c r="B29" s="490" t="s">
        <v>661</v>
      </c>
      <c r="C29" s="617"/>
      <c r="D29" s="618">
        <v>56148.49</v>
      </c>
    </row>
    <row r="30" spans="1:4" ht="15.75" thickBot="1">
      <c r="A30" s="390" t="s">
        <v>403</v>
      </c>
      <c r="B30" s="457"/>
      <c r="C30" s="458"/>
      <c r="D30" s="459">
        <v>79044</v>
      </c>
    </row>
    <row r="31" spans="1:4" ht="15.75" thickBot="1">
      <c r="A31" s="805" t="s">
        <v>701</v>
      </c>
      <c r="B31" s="870"/>
      <c r="C31" s="796"/>
      <c r="D31" s="939">
        <v>270817.25</v>
      </c>
    </row>
    <row r="32" spans="1:4" ht="16.5" thickBot="1">
      <c r="A32" s="460" t="s">
        <v>914</v>
      </c>
      <c r="B32" s="461"/>
      <c r="C32" s="462"/>
      <c r="D32" s="463"/>
    </row>
    <row r="33" spans="1:4" ht="24">
      <c r="A33" s="465" t="s">
        <v>194</v>
      </c>
      <c r="B33" s="433" t="s">
        <v>920</v>
      </c>
      <c r="C33" s="443" t="s">
        <v>673</v>
      </c>
      <c r="D33" s="444" t="s">
        <v>793</v>
      </c>
    </row>
    <row r="34" spans="1:4" ht="15">
      <c r="A34" s="377" t="s">
        <v>404</v>
      </c>
      <c r="B34" s="365"/>
      <c r="C34" s="421"/>
      <c r="D34" s="421">
        <v>22330</v>
      </c>
    </row>
    <row r="35" spans="1:4" ht="15">
      <c r="A35" s="377" t="s">
        <v>697</v>
      </c>
      <c r="B35" s="365"/>
      <c r="C35" s="441">
        <v>1</v>
      </c>
      <c r="D35" s="421">
        <v>365.67</v>
      </c>
    </row>
    <row r="36" spans="1:4" ht="15">
      <c r="A36" s="377" t="s">
        <v>409</v>
      </c>
      <c r="B36" s="365" t="s">
        <v>478</v>
      </c>
      <c r="C36" s="441">
        <v>1</v>
      </c>
      <c r="D36" s="421">
        <v>915.47</v>
      </c>
    </row>
    <row r="37" spans="1:4" ht="15">
      <c r="A37" s="363" t="s">
        <v>60</v>
      </c>
      <c r="B37" s="621" t="s">
        <v>817</v>
      </c>
      <c r="C37" s="469">
        <v>1</v>
      </c>
      <c r="D37" s="421">
        <v>2260.7</v>
      </c>
    </row>
    <row r="38" spans="1:4" ht="15.75" thickBot="1">
      <c r="A38" s="799" t="s">
        <v>203</v>
      </c>
      <c r="B38" s="934"/>
      <c r="C38" s="439"/>
      <c r="D38" s="439">
        <v>16825.96</v>
      </c>
    </row>
    <row r="39" spans="1:4" ht="15.75" thickBot="1">
      <c r="A39" s="806" t="s">
        <v>901</v>
      </c>
      <c r="B39" s="811"/>
      <c r="C39" s="803"/>
      <c r="D39" s="863">
        <v>42697.8</v>
      </c>
    </row>
    <row r="40" spans="1:4" ht="15">
      <c r="A40" s="943" t="s">
        <v>457</v>
      </c>
      <c r="B40" s="570"/>
      <c r="C40" s="652"/>
      <c r="D40" s="598"/>
    </row>
    <row r="41" spans="1:4" ht="15">
      <c r="A41" s="359" t="s">
        <v>413</v>
      </c>
      <c r="B41" s="365" t="s">
        <v>478</v>
      </c>
      <c r="C41" s="421">
        <v>1</v>
      </c>
      <c r="D41" s="532">
        <v>602.9</v>
      </c>
    </row>
    <row r="42" spans="1:4" ht="15">
      <c r="A42" s="359" t="s">
        <v>927</v>
      </c>
      <c r="B42" s="365"/>
      <c r="C42" s="421">
        <v>15</v>
      </c>
      <c r="D42" s="532">
        <v>11117.67</v>
      </c>
    </row>
    <row r="43" spans="1:4" ht="15">
      <c r="A43" s="807" t="s">
        <v>405</v>
      </c>
      <c r="B43" s="758"/>
      <c r="C43" s="439"/>
      <c r="D43" s="532">
        <v>29862</v>
      </c>
    </row>
    <row r="44" spans="1:4" ht="15">
      <c r="A44" s="807" t="s">
        <v>704</v>
      </c>
      <c r="B44" s="758" t="s">
        <v>478</v>
      </c>
      <c r="C44" s="439">
        <v>2</v>
      </c>
      <c r="D44" s="835">
        <v>3892.68</v>
      </c>
    </row>
    <row r="45" spans="1:4" ht="15">
      <c r="A45" s="359" t="s">
        <v>378</v>
      </c>
      <c r="B45" s="365"/>
      <c r="C45" s="421"/>
      <c r="D45" s="532">
        <v>26603</v>
      </c>
    </row>
    <row r="46" spans="1:4" ht="15.75" thickBot="1">
      <c r="A46" s="843" t="s">
        <v>324</v>
      </c>
      <c r="B46" s="834" t="s">
        <v>211</v>
      </c>
      <c r="C46" s="661">
        <v>5</v>
      </c>
      <c r="D46" s="836">
        <v>32604.87</v>
      </c>
    </row>
    <row r="47" spans="1:4" ht="15.75" thickBot="1">
      <c r="A47" s="1105" t="s">
        <v>901</v>
      </c>
      <c r="B47" s="817"/>
      <c r="C47" s="1020"/>
      <c r="D47" s="940">
        <v>104683.12</v>
      </c>
    </row>
    <row r="48" spans="1:4" ht="15">
      <c r="A48" s="808" t="s">
        <v>192</v>
      </c>
      <c r="B48" s="800"/>
      <c r="C48" s="441"/>
      <c r="D48" s="441"/>
    </row>
    <row r="49" spans="1:4" ht="15">
      <c r="A49" s="383" t="s">
        <v>412</v>
      </c>
      <c r="B49" s="935" t="s">
        <v>372</v>
      </c>
      <c r="C49" s="441">
        <v>15</v>
      </c>
      <c r="D49" s="441">
        <v>18802.67</v>
      </c>
    </row>
    <row r="50" spans="1:4" ht="15">
      <c r="A50" s="383" t="s">
        <v>882</v>
      </c>
      <c r="B50" s="935"/>
      <c r="C50" s="441">
        <v>7</v>
      </c>
      <c r="D50" s="441">
        <v>6518.25</v>
      </c>
    </row>
    <row r="51" spans="1:4" ht="15">
      <c r="A51" s="383" t="s">
        <v>748</v>
      </c>
      <c r="B51" s="935"/>
      <c r="C51" s="441">
        <v>1</v>
      </c>
      <c r="D51" s="441">
        <v>3765</v>
      </c>
    </row>
    <row r="52" spans="1:4" ht="15.75">
      <c r="A52" s="554" t="s">
        <v>1020</v>
      </c>
      <c r="B52" s="365" t="s">
        <v>478</v>
      </c>
      <c r="C52" s="423">
        <v>2</v>
      </c>
      <c r="D52" s="532">
        <v>8144.75</v>
      </c>
    </row>
    <row r="53" spans="1:4" ht="16.5" thickBot="1">
      <c r="A53" s="833" t="s">
        <v>212</v>
      </c>
      <c r="B53" s="758" t="s">
        <v>81</v>
      </c>
      <c r="C53" s="809">
        <v>3</v>
      </c>
      <c r="D53" s="541">
        <v>3873.05</v>
      </c>
    </row>
    <row r="54" spans="1:4" ht="16.5" thickBot="1">
      <c r="A54" s="829" t="s">
        <v>701</v>
      </c>
      <c r="B54" s="811"/>
      <c r="C54" s="812"/>
      <c r="D54" s="863">
        <v>41103.72</v>
      </c>
    </row>
    <row r="55" spans="1:4" ht="15">
      <c r="A55" s="808" t="s">
        <v>410</v>
      </c>
      <c r="B55" s="570"/>
      <c r="C55" s="441"/>
      <c r="D55" s="441"/>
    </row>
    <row r="56" spans="1:4" ht="15">
      <c r="A56" s="359" t="s">
        <v>300</v>
      </c>
      <c r="B56" s="621" t="s">
        <v>478</v>
      </c>
      <c r="C56" s="421">
        <v>2</v>
      </c>
      <c r="D56" s="424">
        <v>1777.82</v>
      </c>
    </row>
    <row r="57" spans="1:4" ht="15">
      <c r="A57" s="359" t="s">
        <v>303</v>
      </c>
      <c r="B57" s="365" t="s">
        <v>478</v>
      </c>
      <c r="C57" s="421">
        <v>2</v>
      </c>
      <c r="D57" s="424">
        <v>1376.34</v>
      </c>
    </row>
    <row r="58" spans="1:4" ht="15">
      <c r="A58" s="359" t="s">
        <v>235</v>
      </c>
      <c r="B58" s="365" t="s">
        <v>211</v>
      </c>
      <c r="C58" s="421">
        <v>2</v>
      </c>
      <c r="D58" s="424">
        <v>2048.35</v>
      </c>
    </row>
    <row r="59" spans="1:4" ht="15">
      <c r="A59" s="377" t="s">
        <v>174</v>
      </c>
      <c r="B59" s="621" t="s">
        <v>478</v>
      </c>
      <c r="C59" s="441">
        <v>2</v>
      </c>
      <c r="D59" s="424">
        <v>4977.28</v>
      </c>
    </row>
    <row r="60" spans="1:4" ht="15.75" thickBot="1">
      <c r="A60" s="807" t="s">
        <v>880</v>
      </c>
      <c r="B60" s="758"/>
      <c r="C60" s="439">
        <v>4</v>
      </c>
      <c r="D60" s="424">
        <v>3469.62</v>
      </c>
    </row>
    <row r="61" spans="1:4" ht="15.75" thickBot="1">
      <c r="A61" s="806" t="s">
        <v>701</v>
      </c>
      <c r="B61" s="811"/>
      <c r="C61" s="803"/>
      <c r="D61" s="533">
        <v>13649.41</v>
      </c>
    </row>
    <row r="62" spans="1:4" ht="15">
      <c r="A62" s="808" t="s">
        <v>362</v>
      </c>
      <c r="B62" s="570"/>
      <c r="C62" s="441"/>
      <c r="D62" s="896"/>
    </row>
    <row r="63" spans="1:4" ht="15.75" thickBot="1">
      <c r="A63" s="807" t="s">
        <v>411</v>
      </c>
      <c r="B63" s="365" t="s">
        <v>478</v>
      </c>
      <c r="C63" s="439">
        <v>1</v>
      </c>
      <c r="D63" s="424">
        <v>734</v>
      </c>
    </row>
    <row r="64" spans="1:4" ht="15.75" thickBot="1">
      <c r="A64" s="806" t="s">
        <v>701</v>
      </c>
      <c r="B64" s="666"/>
      <c r="C64" s="1106"/>
      <c r="D64" s="863">
        <v>734</v>
      </c>
    </row>
    <row r="65" spans="1:4" ht="15.75">
      <c r="A65" s="876" t="s">
        <v>386</v>
      </c>
      <c r="B65" s="365"/>
      <c r="C65" s="441"/>
      <c r="D65" s="896"/>
    </row>
    <row r="66" spans="1:4" ht="15.75">
      <c r="A66" s="547" t="s">
        <v>414</v>
      </c>
      <c r="B66" s="365" t="s">
        <v>478</v>
      </c>
      <c r="C66" s="421">
        <v>1</v>
      </c>
      <c r="D66" s="424">
        <v>7758.03</v>
      </c>
    </row>
    <row r="67" spans="1:4" ht="15.75">
      <c r="A67" s="547" t="s">
        <v>886</v>
      </c>
      <c r="B67" s="365" t="s">
        <v>478</v>
      </c>
      <c r="C67" s="421">
        <v>4</v>
      </c>
      <c r="D67" s="424">
        <v>2869.88</v>
      </c>
    </row>
    <row r="68" spans="1:4" ht="15">
      <c r="A68" s="359" t="s">
        <v>692</v>
      </c>
      <c r="B68" s="365" t="s">
        <v>478</v>
      </c>
      <c r="C68" s="359">
        <v>6</v>
      </c>
      <c r="D68" s="424">
        <v>7070.47</v>
      </c>
    </row>
    <row r="69" spans="1:4" ht="15.75" thickBot="1">
      <c r="A69" s="807" t="s">
        <v>415</v>
      </c>
      <c r="B69" s="758" t="s">
        <v>52</v>
      </c>
      <c r="C69" s="616">
        <v>1</v>
      </c>
      <c r="D69" s="439">
        <v>1505.83</v>
      </c>
    </row>
    <row r="70" spans="1:4" ht="15.75" thickBot="1">
      <c r="A70" s="806" t="s">
        <v>701</v>
      </c>
      <c r="B70" s="953"/>
      <c r="C70" s="936"/>
      <c r="D70" s="863">
        <v>19204.21</v>
      </c>
    </row>
    <row r="71" spans="1:4" ht="15">
      <c r="A71" s="1081"/>
      <c r="B71" s="365"/>
      <c r="C71" s="441"/>
      <c r="D71" s="441"/>
    </row>
    <row r="72" spans="1:4" ht="15">
      <c r="A72" s="1081" t="s">
        <v>375</v>
      </c>
      <c r="B72" s="570"/>
      <c r="C72" s="441"/>
      <c r="D72" s="877">
        <v>222072.26</v>
      </c>
    </row>
    <row r="73" spans="1:4" ht="15">
      <c r="A73" s="377"/>
      <c r="B73" s="570"/>
      <c r="C73" s="441"/>
      <c r="D73" s="959"/>
    </row>
    <row r="74" spans="1:4" ht="15">
      <c r="A74" s="465" t="s">
        <v>407</v>
      </c>
      <c r="B74" s="757"/>
      <c r="C74" s="427"/>
      <c r="D74" s="428">
        <v>11779.33</v>
      </c>
    </row>
    <row r="75" spans="1:4" ht="15">
      <c r="A75" s="955" t="s">
        <v>904</v>
      </c>
      <c r="B75" s="365"/>
      <c r="C75" s="427"/>
      <c r="D75" s="428">
        <v>51184.82</v>
      </c>
    </row>
    <row r="76" spans="1:4" ht="15">
      <c r="A76" s="955" t="s">
        <v>408</v>
      </c>
      <c r="B76" s="365"/>
      <c r="C76" s="427"/>
      <c r="D76" s="428">
        <v>125912.53</v>
      </c>
    </row>
    <row r="77" spans="1:4" ht="15">
      <c r="A77" s="955"/>
      <c r="B77" s="365"/>
      <c r="C77" s="427"/>
      <c r="D77" s="421"/>
    </row>
    <row r="78" spans="1:4" ht="15.75" thickBot="1">
      <c r="A78" s="937"/>
      <c r="B78" s="758"/>
      <c r="C78" s="435"/>
      <c r="D78" s="439"/>
    </row>
    <row r="79" spans="1:4" ht="15.75" thickBot="1">
      <c r="A79" s="806" t="s">
        <v>918</v>
      </c>
      <c r="B79" s="811"/>
      <c r="C79" s="907"/>
      <c r="D79" s="863">
        <v>681766.19</v>
      </c>
    </row>
    <row r="80" spans="1:4" ht="15">
      <c r="A80" s="890"/>
      <c r="B80" s="570"/>
      <c r="C80" s="900"/>
      <c r="D80" s="441"/>
    </row>
    <row r="81" spans="1:4" ht="15">
      <c r="A81" s="1251" t="s">
        <v>568</v>
      </c>
      <c r="B81" s="1257"/>
      <c r="C81" s="467"/>
      <c r="D81" s="467">
        <v>0</v>
      </c>
    </row>
    <row r="82" spans="1:4" ht="15">
      <c r="A82" s="1332" t="s">
        <v>569</v>
      </c>
      <c r="B82" s="1332"/>
      <c r="C82" s="628"/>
      <c r="D82" s="608">
        <v>571857.25</v>
      </c>
    </row>
    <row r="83" spans="1:4" ht="15">
      <c r="A83" s="1332" t="s">
        <v>570</v>
      </c>
      <c r="B83" s="1332"/>
      <c r="C83" s="607"/>
      <c r="D83" s="608">
        <v>681766.19</v>
      </c>
    </row>
    <row r="84" spans="1:4" ht="15">
      <c r="A84" s="1333" t="s">
        <v>571</v>
      </c>
      <c r="B84" s="1333"/>
      <c r="C84" s="629"/>
      <c r="D84" s="629">
        <v>109908.94</v>
      </c>
    </row>
    <row r="85" spans="1:4" ht="15">
      <c r="A85" s="1332" t="s">
        <v>179</v>
      </c>
      <c r="B85" s="1332"/>
      <c r="C85" s="1258"/>
      <c r="D85" s="630">
        <v>109908.94</v>
      </c>
    </row>
    <row r="86" spans="1:4" ht="15">
      <c r="A86" s="538"/>
      <c r="B86" s="538"/>
      <c r="C86" s="1259"/>
      <c r="D86" s="1260"/>
    </row>
    <row r="87" spans="1:4" ht="15">
      <c r="A87" s="538"/>
      <c r="B87" s="538"/>
      <c r="C87" s="1259"/>
      <c r="D87" s="1260"/>
    </row>
    <row r="88" spans="1:4" ht="15">
      <c r="A88" s="538"/>
      <c r="B88" s="538"/>
      <c r="C88" s="1259"/>
      <c r="D88" s="1260"/>
    </row>
    <row r="89" spans="1:4" ht="15">
      <c r="A89" s="419" t="s">
        <v>830</v>
      </c>
      <c r="B89"/>
      <c r="C89" s="596" t="s">
        <v>769</v>
      </c>
      <c r="D89" s="11"/>
    </row>
    <row r="92" ht="12.75">
      <c r="A92" s="735" t="s">
        <v>357</v>
      </c>
    </row>
    <row r="93" ht="12.75">
      <c r="A93" s="735" t="s">
        <v>906</v>
      </c>
    </row>
    <row r="94" ht="12.75">
      <c r="A94" s="735" t="s">
        <v>358</v>
      </c>
    </row>
  </sheetData>
  <sheetProtection/>
  <mergeCells count="24">
    <mergeCell ref="A15:B15"/>
    <mergeCell ref="C15:D15"/>
    <mergeCell ref="A16:B16"/>
    <mergeCell ref="C16:D16"/>
    <mergeCell ref="A17:B17"/>
    <mergeCell ref="C17:D17"/>
    <mergeCell ref="A19:D19"/>
    <mergeCell ref="A20:D20"/>
    <mergeCell ref="A7:B7"/>
    <mergeCell ref="A9:B9"/>
    <mergeCell ref="A11:B12"/>
    <mergeCell ref="C11:D12"/>
    <mergeCell ref="A13:B13"/>
    <mergeCell ref="C13:D13"/>
    <mergeCell ref="A14:B14"/>
    <mergeCell ref="C14:D14"/>
    <mergeCell ref="C3:D3"/>
    <mergeCell ref="A4:B4"/>
    <mergeCell ref="A5:B5"/>
    <mergeCell ref="A6:B6"/>
    <mergeCell ref="A82:B82"/>
    <mergeCell ref="A83:B83"/>
    <mergeCell ref="A84:B84"/>
    <mergeCell ref="A85:B85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6">
      <selection activeCell="E16" sqref="E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924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6">
        <v>64933.32</v>
      </c>
      <c r="D11" s="136">
        <v>0</v>
      </c>
    </row>
    <row r="12" spans="1:4" ht="15.75" thickBot="1">
      <c r="A12" s="1341" t="s">
        <v>646</v>
      </c>
      <c r="B12" s="1342"/>
      <c r="C12" s="136">
        <v>502638.84</v>
      </c>
      <c r="D12" s="136">
        <v>0</v>
      </c>
    </row>
    <row r="13" spans="1:4" ht="15.75" thickBot="1">
      <c r="A13" s="1341" t="s">
        <v>647</v>
      </c>
      <c r="B13" s="1342"/>
      <c r="C13" s="136">
        <v>487668.26</v>
      </c>
      <c r="D13" s="136">
        <v>0</v>
      </c>
    </row>
    <row r="14" spans="1:4" ht="15.75" hidden="1" thickBot="1">
      <c r="A14" s="1341" t="s">
        <v>666</v>
      </c>
      <c r="B14" s="1342"/>
      <c r="C14" s="136"/>
      <c r="D14" s="136"/>
    </row>
    <row r="15" spans="1:4" ht="15.75" thickBot="1">
      <c r="A15" s="1341" t="s">
        <v>648</v>
      </c>
      <c r="B15" s="1342"/>
      <c r="C15" s="136">
        <f>C11+C12-C13</f>
        <v>79903.90000000002</v>
      </c>
      <c r="D15" s="136">
        <f>D11+D12-D13</f>
        <v>0</v>
      </c>
    </row>
    <row r="16" spans="1:4" ht="15.75" thickBot="1">
      <c r="A16" s="1341" t="s">
        <v>806</v>
      </c>
      <c r="B16" s="1342"/>
      <c r="C16" s="170">
        <f>D22+D46</f>
        <v>497611.42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D23+D24+D25+D26+D27+D28</f>
        <v>320783.75</v>
      </c>
    </row>
    <row r="23" spans="1:4" ht="26.25" thickBot="1">
      <c r="A23" s="166" t="s">
        <v>662</v>
      </c>
      <c r="B23" s="64" t="s">
        <v>652</v>
      </c>
      <c r="C23" s="45"/>
      <c r="D23" s="171">
        <v>112311.7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80213.85</v>
      </c>
    </row>
    <row r="25" spans="1:4" ht="25.5" thickBot="1">
      <c r="A25" s="133" t="s">
        <v>658</v>
      </c>
      <c r="B25" s="168" t="s">
        <v>657</v>
      </c>
      <c r="C25" s="145"/>
      <c r="D25" s="171">
        <v>55469.92</v>
      </c>
    </row>
    <row r="26" spans="1:4" ht="15.75" thickBot="1">
      <c r="A26" s="133" t="s">
        <v>799</v>
      </c>
      <c r="B26" s="181" t="s">
        <v>661</v>
      </c>
      <c r="C26" s="182"/>
      <c r="D26" s="183">
        <v>16485.21</v>
      </c>
    </row>
    <row r="27" spans="1:4" ht="15.75" thickBot="1">
      <c r="A27" s="133" t="s">
        <v>879</v>
      </c>
      <c r="B27" s="181" t="s">
        <v>661</v>
      </c>
      <c r="C27" s="182"/>
      <c r="D27" s="183">
        <v>34467.51</v>
      </c>
    </row>
    <row r="28" spans="1:4" ht="15.75" thickBot="1">
      <c r="A28" s="147" t="s">
        <v>685</v>
      </c>
      <c r="B28" s="184" t="s">
        <v>817</v>
      </c>
      <c r="C28" s="45" t="s">
        <v>801</v>
      </c>
      <c r="D28" s="186">
        <v>21835.56</v>
      </c>
    </row>
    <row r="29" spans="1:4" ht="15.75" thickBot="1">
      <c r="A29" s="148" t="s">
        <v>760</v>
      </c>
      <c r="B29" s="149"/>
      <c r="C29" s="139"/>
      <c r="D29" s="175">
        <f>D31+D32+D33+D35+D36+D37+D40+D41+D42+D43</f>
        <v>176827.66999999998</v>
      </c>
    </row>
    <row r="30" spans="1:4" ht="24.75" thickBot="1">
      <c r="A30" s="150" t="s">
        <v>672</v>
      </c>
      <c r="B30" s="15" t="s">
        <v>920</v>
      </c>
      <c r="C30" s="49" t="s">
        <v>673</v>
      </c>
      <c r="D30" s="176" t="s">
        <v>793</v>
      </c>
    </row>
    <row r="31" spans="1:4" ht="14.25">
      <c r="A31" s="156" t="s">
        <v>816</v>
      </c>
      <c r="B31" s="74" t="s">
        <v>661</v>
      </c>
      <c r="C31" s="153"/>
      <c r="D31" s="177">
        <v>14215.88</v>
      </c>
    </row>
    <row r="32" spans="1:4" ht="14.25">
      <c r="A32" s="188" t="s">
        <v>934</v>
      </c>
      <c r="B32" s="74" t="s">
        <v>661</v>
      </c>
      <c r="C32" s="153"/>
      <c r="D32" s="177">
        <f>15703.73+90820</f>
        <v>106523.73</v>
      </c>
    </row>
    <row r="33" spans="1:4" ht="14.25">
      <c r="A33" s="188" t="s">
        <v>930</v>
      </c>
      <c r="B33" s="74" t="s">
        <v>661</v>
      </c>
      <c r="C33" s="153"/>
      <c r="D33" s="177">
        <v>676.56</v>
      </c>
    </row>
    <row r="34" spans="1:4" ht="14.25">
      <c r="A34" s="151" t="s">
        <v>676</v>
      </c>
      <c r="B34" s="116"/>
      <c r="C34" s="153"/>
      <c r="D34" s="177"/>
    </row>
    <row r="35" spans="1:4" ht="14.25">
      <c r="A35" s="132" t="s">
        <v>883</v>
      </c>
      <c r="B35" s="74" t="s">
        <v>661</v>
      </c>
      <c r="C35" s="153"/>
      <c r="D35" s="179">
        <v>10097.24</v>
      </c>
    </row>
    <row r="36" spans="1:4" ht="14.25">
      <c r="A36" s="157" t="s">
        <v>880</v>
      </c>
      <c r="B36" s="74" t="s">
        <v>661</v>
      </c>
      <c r="C36" s="153"/>
      <c r="D36" s="179">
        <v>16871.3</v>
      </c>
    </row>
    <row r="37" spans="1:4" ht="14.25">
      <c r="A37" s="157" t="s">
        <v>881</v>
      </c>
      <c r="B37" s="74" t="s">
        <v>661</v>
      </c>
      <c r="C37" s="153"/>
      <c r="D37" s="180">
        <v>14185.56</v>
      </c>
    </row>
    <row r="38" spans="1:4" ht="14.25">
      <c r="A38" s="40"/>
      <c r="B38" s="112"/>
      <c r="C38" s="153"/>
      <c r="D38" s="86"/>
    </row>
    <row r="39" spans="1:4" ht="15">
      <c r="A39" s="151" t="s">
        <v>682</v>
      </c>
      <c r="B39" s="118"/>
      <c r="C39" s="153"/>
      <c r="D39" s="191"/>
    </row>
    <row r="40" spans="1:4" ht="14.25">
      <c r="A40" s="159" t="s">
        <v>886</v>
      </c>
      <c r="B40" s="74" t="s">
        <v>661</v>
      </c>
      <c r="C40" s="153"/>
      <c r="D40" s="192">
        <v>1178.96</v>
      </c>
    </row>
    <row r="41" spans="1:4" ht="14.25">
      <c r="A41" s="159" t="s">
        <v>887</v>
      </c>
      <c r="B41" s="74" t="s">
        <v>661</v>
      </c>
      <c r="C41" s="153"/>
      <c r="D41" s="192">
        <v>7680</v>
      </c>
    </row>
    <row r="42" spans="1:4" ht="14.25">
      <c r="A42" s="159" t="s">
        <v>888</v>
      </c>
      <c r="B42" s="74" t="s">
        <v>661</v>
      </c>
      <c r="C42" s="153"/>
      <c r="D42" s="192">
        <f>162.03+233.2+3531.36</f>
        <v>3926.59</v>
      </c>
    </row>
    <row r="43" spans="1:4" ht="14.25">
      <c r="A43" s="159" t="s">
        <v>929</v>
      </c>
      <c r="B43" s="74" t="s">
        <v>661</v>
      </c>
      <c r="C43" s="152"/>
      <c r="D43" s="192">
        <v>1471.85</v>
      </c>
    </row>
    <row r="44" spans="1:4" ht="14.25" hidden="1">
      <c r="A44" s="159"/>
      <c r="B44" s="158"/>
      <c r="C44" s="152"/>
      <c r="D44" s="160"/>
    </row>
    <row r="45" spans="1:4" ht="14.25" hidden="1">
      <c r="A45" s="157"/>
      <c r="B45" s="153"/>
      <c r="C45" s="152"/>
      <c r="D45" s="160"/>
    </row>
    <row r="46" spans="1:4" ht="15" hidden="1">
      <c r="A46" s="162" t="s">
        <v>821</v>
      </c>
      <c r="B46" s="163"/>
      <c r="C46" s="164"/>
      <c r="D46" s="165">
        <f>SUM(D31:D45)</f>
        <v>176827.66999999998</v>
      </c>
    </row>
    <row r="47" spans="1:4" ht="15">
      <c r="A47" s="71"/>
      <c r="B47" s="11"/>
      <c r="C47" s="11"/>
      <c r="D47" s="11"/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4" ht="15">
      <c r="A50" s="71"/>
      <c r="B50" s="11"/>
      <c r="C50" s="11"/>
      <c r="D50" s="11"/>
    </row>
    <row r="51" spans="1:3" ht="15.75">
      <c r="A51" s="187" t="s">
        <v>921</v>
      </c>
      <c r="B51" s="187"/>
      <c r="C51" s="187" t="s">
        <v>889</v>
      </c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8" ht="15.75">
      <c r="A58" s="7"/>
    </row>
  </sheetData>
  <sheetProtection/>
  <mergeCells count="13">
    <mergeCell ref="A7:B7"/>
    <mergeCell ref="A9:B10"/>
    <mergeCell ref="A19:D19"/>
    <mergeCell ref="A12:B12"/>
    <mergeCell ref="A13:B13"/>
    <mergeCell ref="A14:B14"/>
    <mergeCell ref="A15:B15"/>
    <mergeCell ref="A16:B16"/>
    <mergeCell ref="A18:D18"/>
    <mergeCell ref="A2:B2"/>
    <mergeCell ref="A3:B3"/>
    <mergeCell ref="A4:B4"/>
    <mergeCell ref="A5:B5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99CC"/>
  </sheetPr>
  <dimension ref="A1:H133"/>
  <sheetViews>
    <sheetView zoomScalePageLayoutView="0" workbookViewId="0" topLeftCell="A38">
      <selection activeCell="C55" sqref="C55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8" max="8" width="9.57421875" style="0" bestFit="1" customWidth="1"/>
  </cols>
  <sheetData>
    <row r="1" spans="1:4" ht="14.25" hidden="1">
      <c r="A1" s="344" t="s">
        <v>168</v>
      </c>
      <c r="B1" s="327"/>
      <c r="C1" s="299"/>
      <c r="D1" s="333"/>
    </row>
    <row r="2" spans="1:4" ht="14.25" hidden="1">
      <c r="A2" s="344" t="s">
        <v>235</v>
      </c>
      <c r="B2" s="298" t="s">
        <v>63</v>
      </c>
      <c r="C2" s="299">
        <v>1</v>
      </c>
      <c r="D2" s="333">
        <v>0</v>
      </c>
    </row>
    <row r="3" spans="1:4" ht="14.25" hidden="1">
      <c r="A3" s="344" t="s">
        <v>299</v>
      </c>
      <c r="B3" s="325" t="s">
        <v>40</v>
      </c>
      <c r="C3" s="299">
        <v>1</v>
      </c>
      <c r="D3" s="333">
        <v>0</v>
      </c>
    </row>
    <row r="4" spans="1:4" ht="14.25" hidden="1">
      <c r="A4" s="344" t="s">
        <v>300</v>
      </c>
      <c r="B4" s="325" t="s">
        <v>40</v>
      </c>
      <c r="C4" s="299">
        <v>1</v>
      </c>
      <c r="D4" s="333">
        <v>0</v>
      </c>
    </row>
    <row r="5" spans="1:4" ht="14.25" hidden="1">
      <c r="A5" s="344" t="s">
        <v>236</v>
      </c>
      <c r="B5" s="325" t="s">
        <v>40</v>
      </c>
      <c r="C5" s="299">
        <v>1</v>
      </c>
      <c r="D5" s="333">
        <v>0</v>
      </c>
    </row>
    <row r="6" spans="1:4" ht="14.25" hidden="1">
      <c r="A6" s="344" t="s">
        <v>316</v>
      </c>
      <c r="B6" s="325" t="s">
        <v>40</v>
      </c>
      <c r="C6" s="299">
        <v>1</v>
      </c>
      <c r="D6" s="333">
        <v>0</v>
      </c>
    </row>
    <row r="7" spans="1:4" ht="14.25" hidden="1">
      <c r="A7" s="344" t="s">
        <v>220</v>
      </c>
      <c r="B7" s="325" t="s">
        <v>40</v>
      </c>
      <c r="C7" s="299">
        <v>1</v>
      </c>
      <c r="D7" s="333">
        <v>0</v>
      </c>
    </row>
    <row r="8" spans="1:4" ht="14.25" hidden="1">
      <c r="A8" s="326" t="s">
        <v>136</v>
      </c>
      <c r="B8" s="327" t="s">
        <v>40</v>
      </c>
      <c r="C8" s="299">
        <v>1</v>
      </c>
      <c r="D8" s="333">
        <v>0</v>
      </c>
    </row>
    <row r="9" spans="1:4" ht="12.75" hidden="1">
      <c r="A9" s="345" t="s">
        <v>174</v>
      </c>
      <c r="B9" s="327" t="s">
        <v>40</v>
      </c>
      <c r="C9" s="346">
        <v>3</v>
      </c>
      <c r="D9" s="347">
        <v>0</v>
      </c>
    </row>
    <row r="10" spans="1:4" ht="12.75" hidden="1">
      <c r="A10" s="345" t="s">
        <v>302</v>
      </c>
      <c r="B10" s="327" t="s">
        <v>40</v>
      </c>
      <c r="C10" s="346">
        <v>2</v>
      </c>
      <c r="D10" s="347">
        <v>0</v>
      </c>
    </row>
    <row r="11" spans="1:4" ht="12.75" hidden="1">
      <c r="A11" s="345" t="s">
        <v>221</v>
      </c>
      <c r="B11" s="327" t="s">
        <v>40</v>
      </c>
      <c r="C11" s="346">
        <v>5</v>
      </c>
      <c r="D11" s="347">
        <v>0</v>
      </c>
    </row>
    <row r="12" spans="1:4" ht="12.75" hidden="1">
      <c r="A12" s="345" t="s">
        <v>315</v>
      </c>
      <c r="B12" s="327" t="s">
        <v>52</v>
      </c>
      <c r="C12" s="346">
        <v>5</v>
      </c>
      <c r="D12" s="347">
        <v>0</v>
      </c>
    </row>
    <row r="13" spans="1:4" ht="12.75" hidden="1">
      <c r="A13" s="345" t="s">
        <v>239</v>
      </c>
      <c r="B13" s="327" t="s">
        <v>40</v>
      </c>
      <c r="C13" s="346">
        <v>6</v>
      </c>
      <c r="D13" s="347">
        <v>0</v>
      </c>
    </row>
    <row r="14" spans="1:4" ht="12.75" hidden="1">
      <c r="A14" s="345" t="s">
        <v>78</v>
      </c>
      <c r="B14" s="327" t="s">
        <v>40</v>
      </c>
      <c r="C14" s="346">
        <v>1</v>
      </c>
      <c r="D14" s="347">
        <v>0</v>
      </c>
    </row>
    <row r="15" spans="1:4" ht="14.25" hidden="1">
      <c r="A15" s="344" t="s">
        <v>216</v>
      </c>
      <c r="B15" s="327" t="s">
        <v>40</v>
      </c>
      <c r="C15" s="299">
        <v>1</v>
      </c>
      <c r="D15" s="333">
        <v>0</v>
      </c>
    </row>
    <row r="16" spans="1:4" ht="14.25" hidden="1">
      <c r="A16" s="344" t="s">
        <v>172</v>
      </c>
      <c r="B16" s="327" t="s">
        <v>40</v>
      </c>
      <c r="C16" s="299">
        <v>2</v>
      </c>
      <c r="D16" s="333">
        <v>0</v>
      </c>
    </row>
    <row r="17" spans="1:4" ht="12.75" hidden="1">
      <c r="A17" s="348" t="s">
        <v>237</v>
      </c>
      <c r="B17" s="320" t="s">
        <v>40</v>
      </c>
      <c r="C17" s="349">
        <v>2</v>
      </c>
      <c r="D17" s="350">
        <v>0</v>
      </c>
    </row>
    <row r="18" spans="1:4" ht="12.75" hidden="1">
      <c r="A18" s="348" t="s">
        <v>61</v>
      </c>
      <c r="B18" s="320" t="s">
        <v>40</v>
      </c>
      <c r="C18" s="349">
        <v>21</v>
      </c>
      <c r="D18" s="351">
        <v>0</v>
      </c>
    </row>
    <row r="19" spans="1:4" ht="12.75" hidden="1">
      <c r="A19" s="348" t="s">
        <v>238</v>
      </c>
      <c r="B19" s="320" t="s">
        <v>40</v>
      </c>
      <c r="C19" s="349">
        <v>1</v>
      </c>
      <c r="D19" s="351">
        <v>0</v>
      </c>
    </row>
    <row r="20" spans="1:4" ht="12.75" hidden="1">
      <c r="A20" s="345" t="s">
        <v>62</v>
      </c>
      <c r="B20" s="298" t="s">
        <v>63</v>
      </c>
      <c r="C20" s="346">
        <v>2</v>
      </c>
      <c r="D20" s="352">
        <v>0</v>
      </c>
    </row>
    <row r="21" spans="1:4" ht="12.75" hidden="1">
      <c r="A21" s="345" t="s">
        <v>64</v>
      </c>
      <c r="B21" s="298" t="s">
        <v>71</v>
      </c>
      <c r="C21" s="346">
        <v>4</v>
      </c>
      <c r="D21" s="352">
        <v>0</v>
      </c>
    </row>
    <row r="22" spans="1:4" ht="12.75" hidden="1">
      <c r="A22" s="345" t="s">
        <v>242</v>
      </c>
      <c r="B22" s="305" t="s">
        <v>74</v>
      </c>
      <c r="C22" s="346">
        <v>1</v>
      </c>
      <c r="D22" s="352">
        <v>0</v>
      </c>
    </row>
    <row r="23" spans="1:4" ht="14.25" hidden="1">
      <c r="A23" s="302" t="s">
        <v>82</v>
      </c>
      <c r="B23" s="305" t="s">
        <v>74</v>
      </c>
      <c r="C23" s="299">
        <v>0.3</v>
      </c>
      <c r="D23" s="334">
        <v>0</v>
      </c>
    </row>
    <row r="24" spans="1:4" ht="14.25" hidden="1">
      <c r="A24" s="302" t="s">
        <v>291</v>
      </c>
      <c r="B24" s="305" t="s">
        <v>182</v>
      </c>
      <c r="C24" s="299">
        <v>1</v>
      </c>
      <c r="D24" s="334">
        <v>0</v>
      </c>
    </row>
    <row r="25" spans="1:4" ht="14.25" hidden="1">
      <c r="A25" s="302" t="s">
        <v>293</v>
      </c>
      <c r="B25" s="305" t="s">
        <v>182</v>
      </c>
      <c r="C25" s="299">
        <v>2</v>
      </c>
      <c r="D25" s="334">
        <v>0</v>
      </c>
    </row>
    <row r="26" spans="1:4" ht="12.75" hidden="1">
      <c r="A26" s="348" t="s">
        <v>75</v>
      </c>
      <c r="B26" s="320" t="s">
        <v>63</v>
      </c>
      <c r="C26" s="349"/>
      <c r="D26" s="351">
        <v>0</v>
      </c>
    </row>
    <row r="27" spans="1:4" ht="14.25" hidden="1">
      <c r="A27" s="348" t="s">
        <v>296</v>
      </c>
      <c r="B27" s="320" t="s">
        <v>63</v>
      </c>
      <c r="C27" s="177">
        <v>3</v>
      </c>
      <c r="D27" s="335">
        <v>0</v>
      </c>
    </row>
    <row r="28" spans="1:4" ht="14.25" hidden="1">
      <c r="A28" s="348" t="s">
        <v>239</v>
      </c>
      <c r="B28" s="320" t="s">
        <v>40</v>
      </c>
      <c r="C28" s="177">
        <v>13</v>
      </c>
      <c r="D28" s="335">
        <v>0</v>
      </c>
    </row>
    <row r="29" spans="1:4" ht="14.25" hidden="1">
      <c r="A29" s="322" t="s">
        <v>76</v>
      </c>
      <c r="B29" s="320" t="s">
        <v>40</v>
      </c>
      <c r="C29" s="177">
        <v>1</v>
      </c>
      <c r="D29" s="335">
        <v>0</v>
      </c>
    </row>
    <row r="30" spans="1:4" ht="12.75" hidden="1">
      <c r="A30" s="345" t="s">
        <v>85</v>
      </c>
      <c r="B30" s="298" t="s">
        <v>40</v>
      </c>
      <c r="C30" s="346">
        <v>4</v>
      </c>
      <c r="D30" s="352">
        <v>0</v>
      </c>
    </row>
    <row r="31" spans="1:4" ht="12.75" hidden="1">
      <c r="A31" s="345" t="s">
        <v>112</v>
      </c>
      <c r="B31" s="298" t="s">
        <v>40</v>
      </c>
      <c r="C31" s="346">
        <v>3</v>
      </c>
      <c r="D31" s="352">
        <v>0</v>
      </c>
    </row>
    <row r="32" spans="1:4" ht="12.75" hidden="1">
      <c r="A32" s="345" t="s">
        <v>78</v>
      </c>
      <c r="B32" s="298" t="s">
        <v>40</v>
      </c>
      <c r="C32" s="346">
        <v>1</v>
      </c>
      <c r="D32" s="352">
        <v>0</v>
      </c>
    </row>
    <row r="33" spans="1:4" ht="12.75" hidden="1">
      <c r="A33" s="345" t="s">
        <v>240</v>
      </c>
      <c r="B33" s="298" t="s">
        <v>40</v>
      </c>
      <c r="C33" s="346">
        <v>3</v>
      </c>
      <c r="D33" s="352">
        <v>0</v>
      </c>
    </row>
    <row r="34" spans="1:4" ht="12.75" hidden="1">
      <c r="A34" s="345" t="s">
        <v>292</v>
      </c>
      <c r="B34" s="298" t="s">
        <v>40</v>
      </c>
      <c r="C34" s="346">
        <v>1</v>
      </c>
      <c r="D34" s="352">
        <v>0</v>
      </c>
    </row>
    <row r="35" spans="1:4" ht="12.75" hidden="1">
      <c r="A35" s="345" t="s">
        <v>79</v>
      </c>
      <c r="B35" s="298" t="s">
        <v>40</v>
      </c>
      <c r="C35" s="346">
        <v>2</v>
      </c>
      <c r="D35" s="352">
        <v>0</v>
      </c>
    </row>
    <row r="36" spans="1:4" ht="12.75" hidden="1">
      <c r="A36" s="345" t="s">
        <v>303</v>
      </c>
      <c r="B36" s="298" t="s">
        <v>40</v>
      </c>
      <c r="C36" s="346">
        <v>1</v>
      </c>
      <c r="D36" s="352">
        <v>0</v>
      </c>
    </row>
    <row r="37" spans="1:4" ht="12.75" hidden="1">
      <c r="A37" s="345" t="s">
        <v>84</v>
      </c>
      <c r="B37" s="298" t="s">
        <v>40</v>
      </c>
      <c r="C37" s="346">
        <v>1</v>
      </c>
      <c r="D37" s="352">
        <v>0</v>
      </c>
    </row>
    <row r="40" spans="3:4" ht="12.75">
      <c r="C40" s="1382" t="s">
        <v>792</v>
      </c>
      <c r="D40" s="1382"/>
    </row>
    <row r="41" spans="1:4" ht="22.5">
      <c r="A41" s="1365" t="s">
        <v>687</v>
      </c>
      <c r="B41" s="1365"/>
      <c r="C41" s="140"/>
      <c r="D41" s="140"/>
    </row>
    <row r="42" spans="1:4" ht="15.75">
      <c r="A42" s="1363" t="s">
        <v>497</v>
      </c>
      <c r="B42" s="1363"/>
      <c r="C42" s="91"/>
      <c r="D42" s="91"/>
    </row>
    <row r="43" spans="1:4" ht="15.75">
      <c r="A43" s="1363" t="s">
        <v>641</v>
      </c>
      <c r="B43" s="1363"/>
      <c r="C43" s="91"/>
      <c r="D43" s="91"/>
    </row>
    <row r="44" spans="1:4" ht="15.75">
      <c r="A44" s="1363" t="s">
        <v>804</v>
      </c>
      <c r="B44" s="1363"/>
      <c r="C44" s="91"/>
      <c r="D44" s="91"/>
    </row>
    <row r="45" spans="1:3" ht="12.75" customHeight="1">
      <c r="A45" s="417"/>
      <c r="B45" s="417"/>
      <c r="C45"/>
    </row>
    <row r="46" spans="1:4" ht="15">
      <c r="A46" s="1343" t="s">
        <v>317</v>
      </c>
      <c r="B46" s="1343"/>
      <c r="C46" s="139"/>
      <c r="D46" s="139"/>
    </row>
    <row r="47" spans="1:4" ht="14.25">
      <c r="A47" s="418"/>
      <c r="B47" s="418"/>
      <c r="C47" s="139"/>
      <c r="D47" s="139"/>
    </row>
    <row r="48" spans="1:4" ht="12.75" customHeight="1">
      <c r="A48" s="1353" t="s">
        <v>642</v>
      </c>
      <c r="B48" s="1325"/>
      <c r="C48" s="1366" t="s">
        <v>488</v>
      </c>
      <c r="D48" s="1367"/>
    </row>
    <row r="49" spans="1:4" ht="12.75">
      <c r="A49" s="1326"/>
      <c r="B49" s="1307"/>
      <c r="C49" s="1368"/>
      <c r="D49" s="1369"/>
    </row>
    <row r="50" spans="1:4" ht="15">
      <c r="A50" s="372" t="s">
        <v>347</v>
      </c>
      <c r="B50" s="717"/>
      <c r="C50" s="1380">
        <v>138554.92</v>
      </c>
      <c r="D50" s="1381"/>
    </row>
    <row r="51" spans="1:4" ht="14.25">
      <c r="A51" s="1357" t="s">
        <v>486</v>
      </c>
      <c r="B51" s="1358"/>
      <c r="C51" s="1312">
        <v>535117.32</v>
      </c>
      <c r="D51" s="1313"/>
    </row>
    <row r="52" spans="1:4" ht="14.25">
      <c r="A52" s="1359" t="s">
        <v>485</v>
      </c>
      <c r="B52" s="1360"/>
      <c r="C52" s="1375">
        <v>533785.54</v>
      </c>
      <c r="D52" s="1376"/>
    </row>
    <row r="53" spans="1:4" ht="15">
      <c r="A53" s="1361" t="s">
        <v>348</v>
      </c>
      <c r="B53" s="1362"/>
      <c r="C53" s="1377">
        <f>C50+C51-C52</f>
        <v>139886.69999999995</v>
      </c>
      <c r="D53" s="1378"/>
    </row>
    <row r="54" spans="1:4" ht="14.25">
      <c r="A54" s="1351" t="s">
        <v>539</v>
      </c>
      <c r="B54" s="1352"/>
      <c r="C54" s="1377">
        <v>792826.83</v>
      </c>
      <c r="D54" s="1378"/>
    </row>
    <row r="55" spans="1:4" ht="14.25">
      <c r="A55" s="538"/>
      <c r="B55" s="538"/>
      <c r="C55" s="539"/>
      <c r="D55" s="539"/>
    </row>
    <row r="56" spans="1:4" ht="15.75">
      <c r="A56" s="1340" t="s">
        <v>650</v>
      </c>
      <c r="B56" s="1340"/>
      <c r="C56" s="1340"/>
      <c r="D56" s="1340"/>
    </row>
    <row r="57" spans="1:4" ht="15.75">
      <c r="A57" s="1340" t="s">
        <v>345</v>
      </c>
      <c r="B57" s="1340"/>
      <c r="C57" s="1340"/>
      <c r="D57" s="1340"/>
    </row>
    <row r="58" spans="1:4" ht="12.75">
      <c r="A58" s="82"/>
      <c r="B58" s="82"/>
      <c r="C58" s="103"/>
      <c r="D58" s="82"/>
    </row>
    <row r="59" spans="1:4" ht="26.25" thickBot="1">
      <c r="A59" s="408" t="s">
        <v>468</v>
      </c>
      <c r="B59" s="451" t="s">
        <v>667</v>
      </c>
      <c r="C59" s="452" t="s">
        <v>673</v>
      </c>
      <c r="D59" s="453" t="s">
        <v>793</v>
      </c>
    </row>
    <row r="60" spans="1:4" ht="16.5" thickBot="1">
      <c r="A60" s="454" t="s">
        <v>913</v>
      </c>
      <c r="B60" s="566"/>
      <c r="C60" s="564"/>
      <c r="D60" s="567"/>
    </row>
    <row r="61" spans="1:4" ht="26.25">
      <c r="A61" s="537" t="s">
        <v>105</v>
      </c>
      <c r="B61" s="391" t="s">
        <v>652</v>
      </c>
      <c r="C61" s="392"/>
      <c r="D61" s="393">
        <v>95307.99</v>
      </c>
    </row>
    <row r="62" spans="1:4" ht="15">
      <c r="A62" s="389" t="s">
        <v>654</v>
      </c>
      <c r="B62" s="449" t="s">
        <v>656</v>
      </c>
      <c r="C62" s="445" t="s">
        <v>801</v>
      </c>
      <c r="D62" s="393">
        <v>55839.31</v>
      </c>
    </row>
    <row r="63" spans="1:4" ht="24.75">
      <c r="A63" s="389" t="s">
        <v>14</v>
      </c>
      <c r="B63" s="399" t="s">
        <v>657</v>
      </c>
      <c r="C63" s="508"/>
      <c r="D63" s="396">
        <v>69806.37</v>
      </c>
    </row>
    <row r="64" spans="1:4" ht="15">
      <c r="A64" s="537" t="s">
        <v>419</v>
      </c>
      <c r="B64" s="450"/>
      <c r="C64" s="404"/>
      <c r="D64" s="393">
        <v>8158.17</v>
      </c>
    </row>
    <row r="65" spans="1:4" ht="15.75" thickBot="1">
      <c r="A65" s="389" t="s">
        <v>799</v>
      </c>
      <c r="B65" s="490" t="s">
        <v>661</v>
      </c>
      <c r="C65" s="617"/>
      <c r="D65" s="618">
        <v>43712.8</v>
      </c>
    </row>
    <row r="66" spans="1:4" ht="15.75" thickBot="1">
      <c r="A66" s="805" t="s">
        <v>701</v>
      </c>
      <c r="B66" s="870"/>
      <c r="C66" s="796"/>
      <c r="D66" s="939">
        <v>272824.64</v>
      </c>
    </row>
    <row r="67" spans="1:4" ht="16.5" thickBot="1">
      <c r="A67" s="460" t="s">
        <v>193</v>
      </c>
      <c r="B67" s="461"/>
      <c r="C67" s="462"/>
      <c r="D67" s="463"/>
    </row>
    <row r="68" spans="1:4" ht="20.25" customHeight="1">
      <c r="A68" s="808" t="s">
        <v>194</v>
      </c>
      <c r="B68" s="433" t="s">
        <v>920</v>
      </c>
      <c r="C68" s="443" t="s">
        <v>673</v>
      </c>
      <c r="D68" s="444" t="s">
        <v>793</v>
      </c>
    </row>
    <row r="69" spans="1:4" ht="15.75" customHeight="1">
      <c r="A69" s="377" t="s">
        <v>420</v>
      </c>
      <c r="B69" s="433"/>
      <c r="C69" s="571">
        <v>2</v>
      </c>
      <c r="D69" s="444">
        <v>3138.31</v>
      </c>
    </row>
    <row r="70" spans="1:4" ht="15">
      <c r="A70" s="377" t="s">
        <v>11</v>
      </c>
      <c r="B70" s="358"/>
      <c r="C70" s="421"/>
      <c r="D70" s="421">
        <v>9589.81</v>
      </c>
    </row>
    <row r="71" spans="1:4" ht="15">
      <c r="A71" s="359" t="s">
        <v>60</v>
      </c>
      <c r="B71" s="358" t="s">
        <v>40</v>
      </c>
      <c r="C71" s="421">
        <v>1</v>
      </c>
      <c r="D71" s="439">
        <v>14827.34</v>
      </c>
    </row>
    <row r="72" spans="1:4" ht="15.75" thickBot="1">
      <c r="A72" s="843" t="s">
        <v>389</v>
      </c>
      <c r="B72" s="964" t="s">
        <v>40</v>
      </c>
      <c r="C72" s="661">
        <v>1</v>
      </c>
      <c r="D72" s="439">
        <v>163436.1</v>
      </c>
    </row>
    <row r="73" spans="1:4" ht="15.75" thickBot="1">
      <c r="A73" s="806" t="s">
        <v>701</v>
      </c>
      <c r="B73" s="957"/>
      <c r="C73" s="803"/>
      <c r="D73" s="863">
        <v>190991.56</v>
      </c>
    </row>
    <row r="74" spans="1:4" ht="15">
      <c r="A74" s="808" t="s">
        <v>416</v>
      </c>
      <c r="B74" s="1015"/>
      <c r="C74" s="441"/>
      <c r="D74" s="441"/>
    </row>
    <row r="75" spans="1:4" ht="15">
      <c r="A75" s="359" t="s">
        <v>421</v>
      </c>
      <c r="B75" s="358" t="s">
        <v>211</v>
      </c>
      <c r="C75" s="421">
        <v>1</v>
      </c>
      <c r="D75" s="421">
        <v>3573.31</v>
      </c>
    </row>
    <row r="76" spans="1:4" ht="15">
      <c r="A76" s="359" t="s">
        <v>423</v>
      </c>
      <c r="B76" s="358" t="s">
        <v>40</v>
      </c>
      <c r="C76" s="421">
        <v>1</v>
      </c>
      <c r="D76" s="421">
        <v>2247.33</v>
      </c>
    </row>
    <row r="77" spans="1:4" ht="15">
      <c r="A77" s="799" t="s">
        <v>422</v>
      </c>
      <c r="B77" s="1107" t="s">
        <v>40</v>
      </c>
      <c r="C77" s="836">
        <v>1</v>
      </c>
      <c r="D77" s="836">
        <v>593.54</v>
      </c>
    </row>
    <row r="78" spans="1:4" ht="15">
      <c r="A78" s="359" t="s">
        <v>418</v>
      </c>
      <c r="B78" s="358"/>
      <c r="C78" s="421">
        <v>1</v>
      </c>
      <c r="D78" s="421">
        <v>8818</v>
      </c>
    </row>
    <row r="79" spans="1:4" ht="15.75" thickBot="1">
      <c r="A79" s="799" t="s">
        <v>690</v>
      </c>
      <c r="B79" s="934" t="s">
        <v>40</v>
      </c>
      <c r="C79" s="439">
        <v>1</v>
      </c>
      <c r="D79" s="439">
        <v>525.3</v>
      </c>
    </row>
    <row r="80" spans="1:4" ht="15.75" thickBot="1">
      <c r="A80" s="805" t="s">
        <v>701</v>
      </c>
      <c r="B80" s="817"/>
      <c r="C80" s="1020"/>
      <c r="D80" s="940">
        <v>15757.48</v>
      </c>
    </row>
    <row r="81" spans="1:4" ht="15">
      <c r="A81" s="808" t="s">
        <v>417</v>
      </c>
      <c r="B81" s="800"/>
      <c r="C81" s="441"/>
      <c r="D81" s="441"/>
    </row>
    <row r="82" spans="1:4" ht="15.75">
      <c r="A82" s="554" t="s">
        <v>324</v>
      </c>
      <c r="B82" s="365" t="s">
        <v>211</v>
      </c>
      <c r="C82" s="423">
        <v>10</v>
      </c>
      <c r="D82" s="421">
        <v>34649.37</v>
      </c>
    </row>
    <row r="83" spans="1:4" ht="15.75">
      <c r="A83" s="554" t="s">
        <v>327</v>
      </c>
      <c r="B83" s="365" t="s">
        <v>111</v>
      </c>
      <c r="C83" s="423">
        <v>1</v>
      </c>
      <c r="D83" s="421">
        <v>679.55</v>
      </c>
    </row>
    <row r="84" spans="1:4" ht="15.75">
      <c r="A84" s="554" t="s">
        <v>64</v>
      </c>
      <c r="B84" s="365" t="s">
        <v>427</v>
      </c>
      <c r="C84" s="423">
        <v>4</v>
      </c>
      <c r="D84" s="421">
        <v>14205.39</v>
      </c>
    </row>
    <row r="85" spans="1:4" ht="15.75">
      <c r="A85" s="554" t="s">
        <v>393</v>
      </c>
      <c r="B85" s="365" t="s">
        <v>40</v>
      </c>
      <c r="C85" s="423">
        <v>12</v>
      </c>
      <c r="D85" s="421">
        <v>9103.55</v>
      </c>
    </row>
    <row r="86" spans="1:4" ht="15">
      <c r="A86" s="359" t="s">
        <v>239</v>
      </c>
      <c r="B86" s="365" t="s">
        <v>40</v>
      </c>
      <c r="C86" s="421">
        <v>9</v>
      </c>
      <c r="D86" s="532">
        <v>11787.66</v>
      </c>
    </row>
    <row r="87" spans="1:4" ht="15.75" thickBot="1">
      <c r="A87" s="807" t="s">
        <v>704</v>
      </c>
      <c r="B87" s="758" t="s">
        <v>40</v>
      </c>
      <c r="C87" s="809">
        <v>7</v>
      </c>
      <c r="D87" s="425">
        <v>6526.83</v>
      </c>
    </row>
    <row r="88" spans="1:4" ht="15.75" thickBot="1">
      <c r="A88" s="806" t="s">
        <v>701</v>
      </c>
      <c r="B88" s="811"/>
      <c r="C88" s="803"/>
      <c r="D88" s="533">
        <v>76952.35</v>
      </c>
    </row>
    <row r="89" spans="1:4" ht="15">
      <c r="A89" s="890" t="s">
        <v>424</v>
      </c>
      <c r="B89" s="570"/>
      <c r="C89" s="441"/>
      <c r="D89" s="598"/>
    </row>
    <row r="90" spans="1:4" ht="15">
      <c r="A90" s="526" t="s">
        <v>383</v>
      </c>
      <c r="B90" s="758">
        <v>1</v>
      </c>
      <c r="C90" s="439">
        <v>1</v>
      </c>
      <c r="D90" s="541">
        <v>623.19</v>
      </c>
    </row>
    <row r="91" spans="1:4" ht="15.75" thickBot="1">
      <c r="A91" s="526" t="s">
        <v>318</v>
      </c>
      <c r="B91" s="758" t="s">
        <v>211</v>
      </c>
      <c r="C91" s="439">
        <v>1</v>
      </c>
      <c r="D91" s="541">
        <v>507.35</v>
      </c>
    </row>
    <row r="92" spans="1:4" ht="15.75" thickBot="1">
      <c r="A92" s="806" t="s">
        <v>701</v>
      </c>
      <c r="B92" s="811"/>
      <c r="C92" s="803"/>
      <c r="D92" s="858">
        <v>1130.54</v>
      </c>
    </row>
    <row r="93" spans="1:4" ht="15">
      <c r="A93" s="890" t="s">
        <v>425</v>
      </c>
      <c r="B93" s="570"/>
      <c r="C93" s="441"/>
      <c r="D93" s="598"/>
    </row>
    <row r="94" spans="1:4" ht="15">
      <c r="A94" s="1054" t="s">
        <v>426</v>
      </c>
      <c r="B94" s="570" t="s">
        <v>211</v>
      </c>
      <c r="C94" s="441">
        <v>1</v>
      </c>
      <c r="D94" s="598">
        <v>251.07</v>
      </c>
    </row>
    <row r="95" spans="1:4" ht="15">
      <c r="A95" s="1054" t="s">
        <v>882</v>
      </c>
      <c r="B95" s="570"/>
      <c r="C95" s="441">
        <v>1</v>
      </c>
      <c r="D95" s="598">
        <v>190.48</v>
      </c>
    </row>
    <row r="96" spans="1:4" ht="15">
      <c r="A96" s="387" t="s">
        <v>212</v>
      </c>
      <c r="B96" s="365" t="s">
        <v>81</v>
      </c>
      <c r="C96" s="421">
        <v>1</v>
      </c>
      <c r="D96" s="532">
        <v>1400.22</v>
      </c>
    </row>
    <row r="97" spans="1:4" ht="15.75" thickBot="1">
      <c r="A97" s="526" t="s">
        <v>882</v>
      </c>
      <c r="B97" s="758"/>
      <c r="C97" s="439">
        <v>3</v>
      </c>
      <c r="D97" s="541">
        <v>2153.71</v>
      </c>
    </row>
    <row r="98" spans="1:4" ht="15.75" thickBot="1">
      <c r="A98" s="806" t="s">
        <v>701</v>
      </c>
      <c r="B98" s="811"/>
      <c r="C98" s="803"/>
      <c r="D98" s="858">
        <v>3995.48</v>
      </c>
    </row>
    <row r="99" spans="1:4" ht="15">
      <c r="A99" s="890" t="s">
        <v>386</v>
      </c>
      <c r="B99" s="570"/>
      <c r="C99" s="441"/>
      <c r="D99" s="598"/>
    </row>
    <row r="100" spans="1:4" ht="15">
      <c r="A100" s="1054" t="s">
        <v>542</v>
      </c>
      <c r="B100" s="570" t="s">
        <v>372</v>
      </c>
      <c r="C100" s="441">
        <v>1</v>
      </c>
      <c r="D100" s="598">
        <v>586.09</v>
      </c>
    </row>
    <row r="101" spans="1:4" ht="15.75" thickBot="1">
      <c r="A101" s="999" t="s">
        <v>692</v>
      </c>
      <c r="B101" s="570"/>
      <c r="C101" s="836">
        <v>3</v>
      </c>
      <c r="D101" s="835">
        <v>1444.91</v>
      </c>
    </row>
    <row r="102" spans="1:4" ht="15.75" thickBot="1">
      <c r="A102" s="806" t="s">
        <v>701</v>
      </c>
      <c r="B102" s="945"/>
      <c r="C102" s="1080"/>
      <c r="D102" s="858">
        <v>2031</v>
      </c>
    </row>
    <row r="103" spans="1:4" ht="15.75" thickBot="1">
      <c r="A103" s="999"/>
      <c r="B103" s="834"/>
      <c r="C103" s="836"/>
      <c r="D103" s="835"/>
    </row>
    <row r="104" spans="1:4" ht="15.75" thickBot="1">
      <c r="A104" s="806" t="s">
        <v>458</v>
      </c>
      <c r="B104" s="811"/>
      <c r="C104" s="803"/>
      <c r="D104" s="858">
        <v>290858.41</v>
      </c>
    </row>
    <row r="105" spans="1:8" ht="15">
      <c r="A105" s="1081"/>
      <c r="B105" s="570"/>
      <c r="C105" s="441"/>
      <c r="D105" s="598"/>
      <c r="G105" s="416"/>
      <c r="H105" s="416"/>
    </row>
    <row r="106" spans="1:8" ht="15">
      <c r="A106" s="799"/>
      <c r="B106" s="834"/>
      <c r="C106" s="836"/>
      <c r="D106" s="810"/>
      <c r="G106" s="416"/>
      <c r="H106" s="416"/>
    </row>
    <row r="107" spans="1:8" ht="15">
      <c r="A107" s="319"/>
      <c r="B107" s="319"/>
      <c r="C107" s="319"/>
      <c r="D107" s="319"/>
      <c r="E107" s="1108" t="s">
        <v>479</v>
      </c>
      <c r="F107" s="677" t="s">
        <v>52</v>
      </c>
      <c r="G107" s="715"/>
      <c r="H107" s="661"/>
    </row>
    <row r="108" spans="1:8" ht="15">
      <c r="A108" s="163" t="s">
        <v>453</v>
      </c>
      <c r="B108" s="319"/>
      <c r="C108" s="319"/>
      <c r="D108" s="1112">
        <v>20676.92</v>
      </c>
      <c r="E108" s="1108" t="s">
        <v>183</v>
      </c>
      <c r="F108" s="677"/>
      <c r="G108" s="661"/>
      <c r="H108" s="573"/>
    </row>
    <row r="109" spans="1:8" ht="15">
      <c r="A109" s="1112" t="s">
        <v>904</v>
      </c>
      <c r="B109" s="319"/>
      <c r="C109" s="319"/>
      <c r="D109" s="1112">
        <v>62043.01</v>
      </c>
      <c r="E109" s="1109" t="s">
        <v>483</v>
      </c>
      <c r="F109" s="677"/>
      <c r="G109" s="661"/>
      <c r="H109" s="573"/>
    </row>
    <row r="110" spans="1:8" ht="15">
      <c r="A110" s="163" t="s">
        <v>775</v>
      </c>
      <c r="B110" s="319"/>
      <c r="C110" s="319"/>
      <c r="D110" s="1112">
        <v>146423.85</v>
      </c>
      <c r="E110" s="1108" t="s">
        <v>484</v>
      </c>
      <c r="F110" s="677" t="s">
        <v>661</v>
      </c>
      <c r="G110" s="661"/>
      <c r="H110" s="713"/>
    </row>
    <row r="111" spans="1:8" ht="15">
      <c r="A111" s="319"/>
      <c r="B111" s="319"/>
      <c r="C111" s="319"/>
      <c r="D111" s="319"/>
      <c r="E111" s="1110" t="s">
        <v>1025</v>
      </c>
      <c r="F111" s="1284"/>
      <c r="G111" s="661"/>
      <c r="H111" s="600"/>
    </row>
    <row r="112" spans="1:8" ht="15.75" thickBot="1">
      <c r="A112" s="414"/>
      <c r="B112" s="414"/>
      <c r="C112" s="414"/>
      <c r="D112" s="414"/>
      <c r="E112" s="1111" t="s">
        <v>886</v>
      </c>
      <c r="F112" s="677" t="s">
        <v>40</v>
      </c>
      <c r="G112" s="661"/>
      <c r="H112" s="573"/>
    </row>
    <row r="113" spans="1:8" ht="15.75" thickBot="1">
      <c r="A113" s="1113" t="s">
        <v>918</v>
      </c>
      <c r="B113" s="1114"/>
      <c r="C113" s="1115"/>
      <c r="D113" s="1116">
        <v>792826.83</v>
      </c>
      <c r="G113" s="416"/>
      <c r="H113" s="416"/>
    </row>
    <row r="114" spans="1:4" ht="15">
      <c r="A114" s="436"/>
      <c r="B114" s="436"/>
      <c r="C114" s="437"/>
      <c r="D114" s="438"/>
    </row>
    <row r="115" spans="1:4" ht="15">
      <c r="A115" s="1251" t="s">
        <v>568</v>
      </c>
      <c r="B115" s="1257"/>
      <c r="C115" s="467"/>
      <c r="D115" s="467">
        <v>0</v>
      </c>
    </row>
    <row r="116" spans="1:4" ht="15">
      <c r="A116" s="1332" t="s">
        <v>569</v>
      </c>
      <c r="B116" s="1332"/>
      <c r="C116" s="628"/>
      <c r="D116" s="608">
        <v>533785.54</v>
      </c>
    </row>
    <row r="117" spans="1:4" ht="15">
      <c r="A117" s="1332" t="s">
        <v>570</v>
      </c>
      <c r="B117" s="1332"/>
      <c r="C117" s="607"/>
      <c r="D117" s="608">
        <v>792826.83</v>
      </c>
    </row>
    <row r="118" spans="1:4" ht="15">
      <c r="A118" s="1333" t="s">
        <v>571</v>
      </c>
      <c r="B118" s="1333"/>
      <c r="C118" s="629"/>
      <c r="D118" s="629">
        <v>259041.09</v>
      </c>
    </row>
    <row r="119" spans="1:4" ht="15">
      <c r="A119" s="1332" t="s">
        <v>179</v>
      </c>
      <c r="B119" s="1332"/>
      <c r="C119" s="1258"/>
      <c r="D119" s="630">
        <v>259041.29</v>
      </c>
    </row>
    <row r="124" spans="1:3" ht="12.75">
      <c r="A124" s="1" t="s">
        <v>180</v>
      </c>
      <c r="C124" s="1" t="s">
        <v>573</v>
      </c>
    </row>
    <row r="131" ht="12.75">
      <c r="A131" s="690" t="s">
        <v>357</v>
      </c>
    </row>
    <row r="132" ht="12.75">
      <c r="A132" s="690" t="s">
        <v>906</v>
      </c>
    </row>
    <row r="133" ht="12.75">
      <c r="A133" s="690" t="s">
        <v>358</v>
      </c>
    </row>
  </sheetData>
  <sheetProtection/>
  <mergeCells count="23">
    <mergeCell ref="A44:B44"/>
    <mergeCell ref="A46:B46"/>
    <mergeCell ref="A48:B49"/>
    <mergeCell ref="C48:D49"/>
    <mergeCell ref="C40:D40"/>
    <mergeCell ref="A41:B41"/>
    <mergeCell ref="A42:B42"/>
    <mergeCell ref="A43:B43"/>
    <mergeCell ref="C50:D50"/>
    <mergeCell ref="A51:B51"/>
    <mergeCell ref="C51:D51"/>
    <mergeCell ref="A56:D56"/>
    <mergeCell ref="A52:B52"/>
    <mergeCell ref="C52:D52"/>
    <mergeCell ref="A57:D57"/>
    <mergeCell ref="A53:B53"/>
    <mergeCell ref="C53:D53"/>
    <mergeCell ref="A54:B54"/>
    <mergeCell ref="C54:D54"/>
    <mergeCell ref="A116:B116"/>
    <mergeCell ref="A117:B117"/>
    <mergeCell ref="A118:B118"/>
    <mergeCell ref="A119:B119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4">
      <selection activeCell="B45" sqref="B45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  <col min="5" max="5" width="12.8515625" style="0" bestFit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999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6">
        <v>13460.39</v>
      </c>
      <c r="D11" s="136">
        <v>3438.44</v>
      </c>
    </row>
    <row r="12" spans="1:4" ht="15.75" thickBot="1">
      <c r="A12" s="1341" t="s">
        <v>646</v>
      </c>
      <c r="B12" s="1342"/>
      <c r="C12" s="136">
        <v>79721.84</v>
      </c>
      <c r="D12" s="136">
        <v>4402.95</v>
      </c>
    </row>
    <row r="13" spans="1:4" ht="15.75" thickBot="1">
      <c r="A13" s="1341" t="s">
        <v>647</v>
      </c>
      <c r="B13" s="1342"/>
      <c r="C13" s="136">
        <v>71684.24</v>
      </c>
      <c r="D13" s="136">
        <v>5378.44</v>
      </c>
    </row>
    <row r="14" spans="1:4" ht="15.75" hidden="1" thickBot="1">
      <c r="A14" s="1341" t="s">
        <v>666</v>
      </c>
      <c r="B14" s="1342"/>
      <c r="C14" s="136"/>
      <c r="D14" s="136"/>
    </row>
    <row r="15" spans="1:4" ht="15.75" thickBot="1">
      <c r="A15" s="1341" t="s">
        <v>648</v>
      </c>
      <c r="B15" s="1342"/>
      <c r="C15" s="136">
        <f>C11+C12-C13</f>
        <v>21497.98999999999</v>
      </c>
      <c r="D15" s="136">
        <f>D11+D12-D13</f>
        <v>2462.95</v>
      </c>
    </row>
    <row r="16" spans="1:4" ht="15.75" thickBot="1">
      <c r="A16" s="1341" t="s">
        <v>806</v>
      </c>
      <c r="B16" s="1342"/>
      <c r="C16" s="170">
        <f>D22+D41</f>
        <v>202497.26</v>
      </c>
      <c r="D16" s="138"/>
    </row>
    <row r="17" spans="2:3" ht="12.75">
      <c r="B17" s="83"/>
      <c r="C17" s="81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891</v>
      </c>
      <c r="B19" s="1340"/>
      <c r="C19" s="1340"/>
      <c r="D19" s="1340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</f>
        <v>16906.28</v>
      </c>
    </row>
    <row r="23" spans="1:4" ht="26.25" hidden="1" thickBot="1">
      <c r="A23" s="166" t="s">
        <v>662</v>
      </c>
      <c r="B23" s="64" t="s">
        <v>652</v>
      </c>
      <c r="C23" s="45"/>
      <c r="D23" s="171">
        <v>0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171">
        <v>13810.43</v>
      </c>
    </row>
    <row r="25" spans="1:4" ht="15.75" thickBot="1">
      <c r="A25" s="133" t="s">
        <v>799</v>
      </c>
      <c r="B25" s="181" t="s">
        <v>661</v>
      </c>
      <c r="C25" s="182"/>
      <c r="D25" s="183">
        <v>298.8</v>
      </c>
    </row>
    <row r="26" spans="1:4" ht="15.75" thickBot="1">
      <c r="A26" s="147" t="s">
        <v>685</v>
      </c>
      <c r="B26" s="184" t="s">
        <v>817</v>
      </c>
      <c r="C26" s="45" t="s">
        <v>801</v>
      </c>
      <c r="D26" s="186">
        <v>2797.05</v>
      </c>
    </row>
    <row r="27" spans="1:4" ht="15.75" thickBot="1">
      <c r="A27" s="148" t="s">
        <v>760</v>
      </c>
      <c r="B27" s="149"/>
      <c r="C27" s="139"/>
      <c r="D27" s="194">
        <f>D29+D32+D33+D34+D37+D38+D30</f>
        <v>185590.98000000004</v>
      </c>
    </row>
    <row r="28" spans="1:4" ht="24.75" thickBot="1">
      <c r="A28" s="150" t="s">
        <v>672</v>
      </c>
      <c r="B28" s="15" t="s">
        <v>920</v>
      </c>
      <c r="C28" s="49" t="s">
        <v>673</v>
      </c>
      <c r="D28" s="176" t="s">
        <v>793</v>
      </c>
    </row>
    <row r="29" spans="1:4" ht="14.25">
      <c r="A29" s="188" t="s">
        <v>934</v>
      </c>
      <c r="B29" s="74" t="s">
        <v>661</v>
      </c>
      <c r="C29" s="153"/>
      <c r="D29" s="177">
        <f>26046.54+11280.87+3702.24</f>
        <v>41029.65</v>
      </c>
    </row>
    <row r="30" spans="1:4" ht="14.25">
      <c r="A30" s="188" t="s">
        <v>1000</v>
      </c>
      <c r="B30" s="74" t="s">
        <v>661</v>
      </c>
      <c r="C30" s="153"/>
      <c r="D30" s="177">
        <v>65362</v>
      </c>
    </row>
    <row r="31" spans="1:4" ht="14.25">
      <c r="A31" s="151" t="s">
        <v>676</v>
      </c>
      <c r="B31" s="116"/>
      <c r="C31" s="153"/>
      <c r="D31" s="177"/>
    </row>
    <row r="32" spans="1:4" ht="14.25">
      <c r="A32" s="132" t="s">
        <v>883</v>
      </c>
      <c r="B32" s="74" t="s">
        <v>661</v>
      </c>
      <c r="C32" s="153"/>
      <c r="D32" s="179">
        <v>55174.05</v>
      </c>
    </row>
    <row r="33" spans="1:4" ht="14.25">
      <c r="A33" s="157" t="s">
        <v>880</v>
      </c>
      <c r="B33" s="74" t="s">
        <v>661</v>
      </c>
      <c r="C33" s="153"/>
      <c r="D33" s="179">
        <v>1585.38</v>
      </c>
    </row>
    <row r="34" spans="1:4" ht="14.25">
      <c r="A34" s="157" t="s">
        <v>881</v>
      </c>
      <c r="B34" s="74" t="s">
        <v>661</v>
      </c>
      <c r="C34" s="153"/>
      <c r="D34" s="180">
        <v>19182.49</v>
      </c>
    </row>
    <row r="35" spans="1:4" ht="14.25">
      <c r="A35" s="40"/>
      <c r="B35" s="112"/>
      <c r="C35" s="153"/>
      <c r="D35" s="86"/>
    </row>
    <row r="36" spans="1:4" ht="15">
      <c r="A36" s="151" t="s">
        <v>682</v>
      </c>
      <c r="B36" s="118"/>
      <c r="C36" s="153"/>
      <c r="D36" s="191"/>
    </row>
    <row r="37" spans="1:4" ht="14.25">
      <c r="A37" s="159" t="s">
        <v>888</v>
      </c>
      <c r="B37" s="74" t="s">
        <v>661</v>
      </c>
      <c r="C37" s="153"/>
      <c r="D37" s="192">
        <v>3071.45</v>
      </c>
    </row>
    <row r="38" spans="1:4" ht="14.25">
      <c r="A38" s="159" t="s">
        <v>929</v>
      </c>
      <c r="B38" s="74" t="s">
        <v>661</v>
      </c>
      <c r="C38" s="152"/>
      <c r="D38" s="192">
        <v>185.96</v>
      </c>
    </row>
    <row r="39" spans="1:4" ht="14.25" hidden="1">
      <c r="A39" s="159"/>
      <c r="B39" s="158"/>
      <c r="C39" s="152"/>
      <c r="D39" s="192"/>
    </row>
    <row r="40" spans="1:4" ht="14.25" hidden="1">
      <c r="A40" s="157"/>
      <c r="B40" s="153"/>
      <c r="C40" s="152"/>
      <c r="D40" s="192"/>
    </row>
    <row r="41" spans="1:4" ht="15" hidden="1">
      <c r="A41" s="162" t="s">
        <v>821</v>
      </c>
      <c r="B41" s="163"/>
      <c r="C41" s="164"/>
      <c r="D41" s="206">
        <f>SUM(D29:D40)</f>
        <v>185590.98</v>
      </c>
    </row>
    <row r="42" spans="1:4" ht="15">
      <c r="A42" s="71"/>
      <c r="B42" s="11"/>
      <c r="C42" s="11"/>
      <c r="D42" s="207"/>
    </row>
    <row r="43" spans="1:4" ht="15">
      <c r="A43" s="71"/>
      <c r="B43" s="11"/>
      <c r="C43" s="11"/>
      <c r="D43" s="11"/>
    </row>
    <row r="44" spans="1:4" ht="15">
      <c r="A44" s="71"/>
      <c r="B44" s="11"/>
      <c r="C44" s="11"/>
      <c r="D44" s="11"/>
    </row>
    <row r="45" spans="1:4" ht="15">
      <c r="A45" s="71"/>
      <c r="B45" s="11"/>
      <c r="C45" s="11"/>
      <c r="D45" s="11"/>
    </row>
    <row r="46" spans="1:3" ht="15.75">
      <c r="A46" s="187" t="s">
        <v>921</v>
      </c>
      <c r="B46" s="187"/>
      <c r="C46" s="187" t="s">
        <v>889</v>
      </c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3" ht="15.75">
      <c r="A53" s="7"/>
    </row>
  </sheetData>
  <sheetProtection/>
  <mergeCells count="13">
    <mergeCell ref="A7:B7"/>
    <mergeCell ref="A9:B10"/>
    <mergeCell ref="A2:B2"/>
    <mergeCell ref="A3:B3"/>
    <mergeCell ref="A4:B4"/>
    <mergeCell ref="A5:B5"/>
    <mergeCell ref="A19:D19"/>
    <mergeCell ref="A12:B12"/>
    <mergeCell ref="A13:B13"/>
    <mergeCell ref="A14:B14"/>
    <mergeCell ref="A15:B15"/>
    <mergeCell ref="A16:B16"/>
    <mergeCell ref="A18:D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E110"/>
  <sheetViews>
    <sheetView zoomScalePageLayoutView="0" workbookViewId="0" topLeftCell="A1">
      <selection activeCell="A16" sqref="A16:D16"/>
    </sheetView>
  </sheetViews>
  <sheetFormatPr defaultColWidth="9.140625" defaultRowHeight="12.75"/>
  <cols>
    <col min="1" max="1" width="65.140625" style="0" customWidth="1"/>
    <col min="2" max="2" width="9.7109375" style="0" customWidth="1"/>
    <col min="3" max="3" width="12.140625" style="0" customWidth="1"/>
    <col min="4" max="4" width="14.421875" style="0" customWidth="1"/>
  </cols>
  <sheetData>
    <row r="1" spans="1:4" ht="12.75">
      <c r="A1" s="1"/>
      <c r="B1" s="1"/>
      <c r="C1" s="1382" t="s">
        <v>792</v>
      </c>
      <c r="D1" s="1382"/>
    </row>
    <row r="2" spans="1:4" ht="22.5" customHeight="1">
      <c r="A2" s="1365" t="s">
        <v>687</v>
      </c>
      <c r="B2" s="1365"/>
      <c r="C2" s="140"/>
      <c r="D2" s="140"/>
    </row>
    <row r="3" spans="1:4" ht="15.75">
      <c r="A3" s="1363" t="s">
        <v>38</v>
      </c>
      <c r="B3" s="1363"/>
      <c r="C3" s="91"/>
      <c r="D3" s="91"/>
    </row>
    <row r="4" spans="1:4" ht="15.75">
      <c r="A4" s="1363" t="s">
        <v>641</v>
      </c>
      <c r="B4" s="1363"/>
      <c r="C4" s="91"/>
      <c r="D4" s="91"/>
    </row>
    <row r="5" spans="1:4" ht="15.75">
      <c r="A5" s="1363" t="s">
        <v>804</v>
      </c>
      <c r="B5" s="1363"/>
      <c r="C5" s="91"/>
      <c r="D5" s="91"/>
    </row>
    <row r="6" spans="1:4" ht="15">
      <c r="A6" s="1343" t="s">
        <v>1019</v>
      </c>
      <c r="B6" s="1343"/>
      <c r="C6" s="139"/>
      <c r="D6" s="139"/>
    </row>
    <row r="7" spans="1:4" ht="12.75" customHeight="1">
      <c r="A7" s="1353" t="s">
        <v>642</v>
      </c>
      <c r="B7" s="1325"/>
      <c r="C7" s="560" t="s">
        <v>643</v>
      </c>
      <c r="D7" s="442" t="s">
        <v>649</v>
      </c>
    </row>
    <row r="8" spans="1:4" ht="12.75" customHeight="1">
      <c r="A8" s="1355"/>
      <c r="B8" s="1389"/>
      <c r="C8" s="557" t="s">
        <v>1023</v>
      </c>
      <c r="D8" s="558" t="s">
        <v>1022</v>
      </c>
    </row>
    <row r="9" spans="1:4" ht="12.75" customHeight="1">
      <c r="A9" s="1355"/>
      <c r="B9" s="1389"/>
      <c r="C9" s="557" t="s">
        <v>1022</v>
      </c>
      <c r="D9" s="558" t="s">
        <v>645</v>
      </c>
    </row>
    <row r="10" spans="1:4" ht="12.75">
      <c r="A10" s="1326"/>
      <c r="B10" s="1307"/>
      <c r="C10" s="556" t="s">
        <v>644</v>
      </c>
      <c r="D10" s="559"/>
    </row>
    <row r="11" spans="1:4" ht="15">
      <c r="A11" s="372" t="s">
        <v>347</v>
      </c>
      <c r="B11" s="717"/>
      <c r="C11" s="386">
        <v>84924.63</v>
      </c>
      <c r="D11" s="719">
        <v>13103.79</v>
      </c>
    </row>
    <row r="12" spans="1:4" ht="14.25" customHeight="1">
      <c r="A12" s="1357" t="s">
        <v>486</v>
      </c>
      <c r="B12" s="1358"/>
      <c r="C12" s="604">
        <v>372042.3</v>
      </c>
      <c r="D12" s="605">
        <v>46892</v>
      </c>
    </row>
    <row r="13" spans="1:4" ht="14.25" customHeight="1">
      <c r="A13" s="1359" t="s">
        <v>485</v>
      </c>
      <c r="B13" s="1360"/>
      <c r="C13" s="607">
        <v>364001.64</v>
      </c>
      <c r="D13" s="608">
        <v>49870.86</v>
      </c>
    </row>
    <row r="14" spans="1:4" ht="15" customHeight="1">
      <c r="A14" s="1361" t="s">
        <v>348</v>
      </c>
      <c r="B14" s="1362"/>
      <c r="C14" s="638">
        <f>C11+C12-C13</f>
        <v>92965.28999999998</v>
      </c>
      <c r="D14" s="635">
        <f>D11+D12-D13</f>
        <v>10124.93</v>
      </c>
    </row>
    <row r="15" spans="1:4" ht="14.25" customHeight="1">
      <c r="A15" s="1351" t="s">
        <v>540</v>
      </c>
      <c r="B15" s="1352"/>
      <c r="C15" s="1254">
        <v>476855.1</v>
      </c>
      <c r="D15" s="672"/>
    </row>
    <row r="16" spans="1:4" ht="15.75">
      <c r="A16" s="1340" t="s">
        <v>650</v>
      </c>
      <c r="B16" s="1340"/>
      <c r="C16" s="1340"/>
      <c r="D16" s="1340"/>
    </row>
    <row r="17" spans="1:4" ht="15.75">
      <c r="A17" s="1340" t="s">
        <v>345</v>
      </c>
      <c r="B17" s="1340"/>
      <c r="C17" s="1340"/>
      <c r="D17" s="1340"/>
    </row>
    <row r="18" spans="1:4" ht="26.25" thickBot="1">
      <c r="A18" s="408" t="s">
        <v>468</v>
      </c>
      <c r="B18" s="451" t="s">
        <v>667</v>
      </c>
      <c r="C18" s="452" t="s">
        <v>673</v>
      </c>
      <c r="D18" s="453" t="s">
        <v>793</v>
      </c>
    </row>
    <row r="19" spans="1:4" ht="19.5" customHeight="1" thickBot="1">
      <c r="A19" s="636" t="s">
        <v>913</v>
      </c>
      <c r="B19" s="455"/>
      <c r="C19" s="456"/>
      <c r="D19" s="684"/>
    </row>
    <row r="20" spans="1:4" ht="26.25" customHeight="1">
      <c r="A20" s="537" t="s">
        <v>105</v>
      </c>
      <c r="B20" s="637" t="s">
        <v>652</v>
      </c>
      <c r="C20" s="632"/>
      <c r="D20" s="631">
        <v>83444.41</v>
      </c>
    </row>
    <row r="21" spans="1:4" ht="24.75" customHeight="1">
      <c r="A21" s="389" t="s">
        <v>654</v>
      </c>
      <c r="B21" s="449" t="s">
        <v>656</v>
      </c>
      <c r="C21" s="445" t="s">
        <v>801</v>
      </c>
      <c r="D21" s="393">
        <v>48888.64</v>
      </c>
    </row>
    <row r="22" spans="1:5" ht="28.5" customHeight="1">
      <c r="A22" s="389" t="s">
        <v>14</v>
      </c>
      <c r="B22" s="399" t="s">
        <v>657</v>
      </c>
      <c r="C22" s="508"/>
      <c r="D22" s="396">
        <v>61117.14</v>
      </c>
      <c r="E22" s="111"/>
    </row>
    <row r="23" spans="1:4" ht="24" customHeight="1">
      <c r="A23" s="537" t="s">
        <v>428</v>
      </c>
      <c r="B23" s="450"/>
      <c r="C23" s="404"/>
      <c r="D23" s="393">
        <v>2858.69</v>
      </c>
    </row>
    <row r="24" spans="1:4" ht="22.5" customHeight="1" thickBot="1">
      <c r="A24" s="390" t="s">
        <v>799</v>
      </c>
      <c r="B24" s="1099"/>
      <c r="C24" s="617"/>
      <c r="D24" s="618">
        <v>22302.41</v>
      </c>
    </row>
    <row r="25" spans="1:4" ht="18" customHeight="1" thickBot="1">
      <c r="A25" s="805" t="s">
        <v>701</v>
      </c>
      <c r="B25" s="1118"/>
      <c r="C25" s="854"/>
      <c r="D25" s="928">
        <v>218611.29</v>
      </c>
    </row>
    <row r="26" spans="1:4" ht="16.5" thickBot="1">
      <c r="A26" s="460" t="s">
        <v>914</v>
      </c>
      <c r="B26" s="461"/>
      <c r="C26" s="462"/>
      <c r="D26" s="463"/>
    </row>
    <row r="27" spans="1:4" ht="24">
      <c r="A27" s="808" t="s">
        <v>429</v>
      </c>
      <c r="B27" s="433" t="s">
        <v>920</v>
      </c>
      <c r="C27" s="443" t="s">
        <v>673</v>
      </c>
      <c r="D27" s="444" t="s">
        <v>793</v>
      </c>
    </row>
    <row r="28" spans="1:4" ht="15.75" thickBot="1">
      <c r="A28" s="799" t="s">
        <v>432</v>
      </c>
      <c r="B28" s="934"/>
      <c r="C28" s="439"/>
      <c r="D28" s="439">
        <v>104831.63</v>
      </c>
    </row>
    <row r="29" spans="1:4" ht="15.75" thickBot="1">
      <c r="A29" s="805" t="s">
        <v>701</v>
      </c>
      <c r="B29" s="817"/>
      <c r="C29" s="1020"/>
      <c r="D29" s="940">
        <v>104831.63</v>
      </c>
    </row>
    <row r="30" spans="1:4" ht="15">
      <c r="A30" s="808" t="s">
        <v>457</v>
      </c>
      <c r="B30" s="800"/>
      <c r="C30" s="441"/>
      <c r="D30" s="441"/>
    </row>
    <row r="31" spans="1:4" ht="15">
      <c r="A31" s="359" t="s">
        <v>368</v>
      </c>
      <c r="B31" s="621" t="s">
        <v>111</v>
      </c>
      <c r="C31" s="421">
        <v>1</v>
      </c>
      <c r="D31" s="532">
        <v>867.35</v>
      </c>
    </row>
    <row r="32" spans="1:4" ht="15">
      <c r="A32" s="359" t="s">
        <v>430</v>
      </c>
      <c r="B32" s="365" t="s">
        <v>478</v>
      </c>
      <c r="C32" s="615">
        <v>1</v>
      </c>
      <c r="D32" s="532">
        <v>466.68</v>
      </c>
    </row>
    <row r="33" spans="1:4" ht="15.75" thickBot="1">
      <c r="A33" s="807" t="s">
        <v>393</v>
      </c>
      <c r="B33" s="621"/>
      <c r="C33" s="439">
        <v>2</v>
      </c>
      <c r="D33" s="425">
        <v>834.42</v>
      </c>
    </row>
    <row r="34" spans="1:4" ht="15.75" thickBot="1">
      <c r="A34" s="806" t="s">
        <v>701</v>
      </c>
      <c r="B34" s="811"/>
      <c r="C34" s="803"/>
      <c r="D34" s="533">
        <v>2168.45</v>
      </c>
    </row>
    <row r="35" spans="1:4" ht="15">
      <c r="A35" s="808" t="s">
        <v>780</v>
      </c>
      <c r="B35" s="570"/>
      <c r="C35" s="441"/>
      <c r="D35" s="598"/>
    </row>
    <row r="36" spans="1:4" ht="15.75" thickBot="1">
      <c r="A36" s="807" t="s">
        <v>197</v>
      </c>
      <c r="B36" s="758"/>
      <c r="C36" s="439">
        <v>1</v>
      </c>
      <c r="D36" s="541">
        <v>457.47</v>
      </c>
    </row>
    <row r="37" spans="1:4" ht="15.75" thickBot="1">
      <c r="A37" s="806" t="s">
        <v>701</v>
      </c>
      <c r="B37" s="811"/>
      <c r="C37" s="803"/>
      <c r="D37" s="858">
        <v>457.47</v>
      </c>
    </row>
    <row r="38" spans="1:4" ht="15">
      <c r="A38" s="808" t="s">
        <v>361</v>
      </c>
      <c r="B38" s="570"/>
      <c r="C38" s="441"/>
      <c r="D38" s="598"/>
    </row>
    <row r="39" spans="1:4" ht="15">
      <c r="A39" s="377" t="s">
        <v>479</v>
      </c>
      <c r="B39" s="570" t="s">
        <v>372</v>
      </c>
      <c r="C39" s="441">
        <v>2</v>
      </c>
      <c r="D39" s="598">
        <v>2505.96</v>
      </c>
    </row>
    <row r="40" spans="1:4" ht="15.75" thickBot="1">
      <c r="A40" s="799" t="s">
        <v>882</v>
      </c>
      <c r="B40" s="834"/>
      <c r="C40" s="836">
        <v>1</v>
      </c>
      <c r="D40" s="835">
        <v>394.86</v>
      </c>
    </row>
    <row r="41" spans="1:4" ht="15.75" thickBot="1">
      <c r="A41" s="806" t="s">
        <v>701</v>
      </c>
      <c r="B41" s="811"/>
      <c r="C41" s="803"/>
      <c r="D41" s="858">
        <v>2900.82</v>
      </c>
    </row>
    <row r="42" spans="1:4" ht="15">
      <c r="A42" s="808" t="s">
        <v>781</v>
      </c>
      <c r="B42" s="570"/>
      <c r="C42" s="441"/>
      <c r="D42" s="598"/>
    </row>
    <row r="43" spans="1:4" ht="15">
      <c r="A43" s="377" t="s">
        <v>886</v>
      </c>
      <c r="B43" s="570" t="s">
        <v>478</v>
      </c>
      <c r="C43" s="441">
        <v>1</v>
      </c>
      <c r="D43" s="598">
        <v>434.55</v>
      </c>
    </row>
    <row r="44" spans="1:4" ht="15">
      <c r="A44" s="377" t="s">
        <v>415</v>
      </c>
      <c r="B44" s="570" t="s">
        <v>52</v>
      </c>
      <c r="C44" s="441">
        <v>1</v>
      </c>
      <c r="D44" s="598">
        <v>97.72</v>
      </c>
    </row>
    <row r="45" spans="1:4" ht="15.75" thickBot="1">
      <c r="A45" s="799" t="s">
        <v>692</v>
      </c>
      <c r="B45" s="834"/>
      <c r="C45" s="836">
        <v>5</v>
      </c>
      <c r="D45" s="835">
        <v>2453.1</v>
      </c>
    </row>
    <row r="46" spans="1:4" ht="15.75" thickBot="1">
      <c r="A46" s="806" t="s">
        <v>701</v>
      </c>
      <c r="B46" s="811"/>
      <c r="C46" s="803"/>
      <c r="D46" s="858">
        <v>2985.37</v>
      </c>
    </row>
    <row r="47" spans="1:4" ht="15">
      <c r="A47" s="808"/>
      <c r="B47" s="570"/>
      <c r="C47" s="441"/>
      <c r="D47" s="598"/>
    </row>
    <row r="48" spans="1:4" ht="15.75" thickBot="1">
      <c r="A48" s="807"/>
      <c r="B48" s="758"/>
      <c r="C48" s="439"/>
      <c r="D48" s="541"/>
    </row>
    <row r="49" spans="1:4" ht="15.75" thickBot="1">
      <c r="A49" s="806" t="s">
        <v>375</v>
      </c>
      <c r="B49" s="811"/>
      <c r="C49" s="803"/>
      <c r="D49" s="858">
        <v>113343.74</v>
      </c>
    </row>
    <row r="50" spans="1:4" ht="15">
      <c r="A50" s="540"/>
      <c r="B50" s="819"/>
      <c r="C50" s="1047"/>
      <c r="D50" s="631"/>
    </row>
    <row r="51" spans="1:4" ht="15">
      <c r="A51" s="944" t="s">
        <v>453</v>
      </c>
      <c r="B51" s="365"/>
      <c r="C51" s="421"/>
      <c r="D51" s="1117">
        <v>18103.13</v>
      </c>
    </row>
    <row r="52" spans="1:4" ht="15">
      <c r="A52" s="944" t="s">
        <v>904</v>
      </c>
      <c r="B52" s="365"/>
      <c r="C52" s="421"/>
      <c r="D52" s="891">
        <v>38728.58</v>
      </c>
    </row>
    <row r="53" spans="1:4" ht="15">
      <c r="A53" s="465" t="s">
        <v>431</v>
      </c>
      <c r="B53" s="757"/>
      <c r="C53" s="427"/>
      <c r="D53" s="428">
        <v>88068.36</v>
      </c>
    </row>
    <row r="54" spans="1:4" ht="15">
      <c r="A54" s="387"/>
      <c r="B54" s="621"/>
      <c r="C54" s="427"/>
      <c r="D54" s="421"/>
    </row>
    <row r="55" spans="1:4" ht="15.75" thickBot="1">
      <c r="A55" s="526"/>
      <c r="B55" s="758"/>
      <c r="C55" s="435"/>
      <c r="D55" s="439"/>
    </row>
    <row r="56" spans="1:4" ht="15.75" thickBot="1">
      <c r="A56" s="806" t="s">
        <v>918</v>
      </c>
      <c r="B56" s="957"/>
      <c r="C56" s="1024"/>
      <c r="D56" s="858">
        <v>476855.1</v>
      </c>
    </row>
    <row r="57" spans="1:4" ht="15">
      <c r="A57" s="196"/>
      <c r="B57" s="196"/>
      <c r="C57" s="429"/>
      <c r="D57" s="430"/>
    </row>
    <row r="58" spans="1:4" ht="15.75" customHeight="1">
      <c r="A58" s="1251" t="s">
        <v>568</v>
      </c>
      <c r="B58" s="1257"/>
      <c r="C58" s="467"/>
      <c r="D58" s="467">
        <v>0</v>
      </c>
    </row>
    <row r="59" spans="1:4" ht="15">
      <c r="A59" s="1332" t="s">
        <v>569</v>
      </c>
      <c r="B59" s="1332"/>
      <c r="C59" s="628"/>
      <c r="D59" s="608">
        <v>364001.64</v>
      </c>
    </row>
    <row r="60" spans="1:4" ht="15">
      <c r="A60" s="1332" t="s">
        <v>570</v>
      </c>
      <c r="B60" s="1332"/>
      <c r="C60" s="607"/>
      <c r="D60" s="608">
        <v>476855.1</v>
      </c>
    </row>
    <row r="61" spans="1:4" ht="15">
      <c r="A61" s="1333" t="s">
        <v>571</v>
      </c>
      <c r="B61" s="1333"/>
      <c r="C61" s="629"/>
      <c r="D61" s="629">
        <v>112853.46</v>
      </c>
    </row>
    <row r="62" spans="1:4" ht="15">
      <c r="A62" s="1332" t="s">
        <v>179</v>
      </c>
      <c r="B62" s="1332"/>
      <c r="C62" s="1258"/>
      <c r="D62" s="630">
        <v>112853.46</v>
      </c>
    </row>
    <row r="65" spans="1:3" ht="12.75">
      <c r="A65" t="s">
        <v>181</v>
      </c>
      <c r="C65" t="s">
        <v>573</v>
      </c>
    </row>
    <row r="68" ht="12.75">
      <c r="A68" s="735" t="s">
        <v>574</v>
      </c>
    </row>
    <row r="69" ht="12.75">
      <c r="A69" s="735" t="s">
        <v>906</v>
      </c>
    </row>
    <row r="86" ht="9" customHeight="1"/>
    <row r="108" ht="12.75">
      <c r="A108" s="735"/>
    </row>
    <row r="109" ht="12.75">
      <c r="A109" s="735"/>
    </row>
    <row r="110" ht="12.75">
      <c r="A110" s="735"/>
    </row>
  </sheetData>
  <sheetProtection/>
  <mergeCells count="17">
    <mergeCell ref="A12:B12"/>
    <mergeCell ref="A15:B15"/>
    <mergeCell ref="A16:D16"/>
    <mergeCell ref="A17:D17"/>
    <mergeCell ref="A13:B13"/>
    <mergeCell ref="A14:B14"/>
    <mergeCell ref="A5:B5"/>
    <mergeCell ref="A6:B6"/>
    <mergeCell ref="A7:B10"/>
    <mergeCell ref="C1:D1"/>
    <mergeCell ref="A2:B2"/>
    <mergeCell ref="A3:B3"/>
    <mergeCell ref="A4:B4"/>
    <mergeCell ref="A59:B59"/>
    <mergeCell ref="A60:B60"/>
    <mergeCell ref="A61:B61"/>
    <mergeCell ref="A62:B6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5">
      <selection activeCell="F34" sqref="F34"/>
    </sheetView>
  </sheetViews>
  <sheetFormatPr defaultColWidth="9.140625" defaultRowHeight="12.75"/>
  <cols>
    <col min="1" max="1" width="0.71875" style="1" customWidth="1"/>
    <col min="2" max="2" width="65.140625" style="1" customWidth="1"/>
    <col min="3" max="3" width="9.421875" style="1" customWidth="1"/>
    <col min="4" max="4" width="14.00390625" style="1" customWidth="1"/>
    <col min="5" max="5" width="13.57421875" style="1" customWidth="1"/>
  </cols>
  <sheetData>
    <row r="1" spans="1:4" ht="12.75">
      <c r="A1" t="s">
        <v>833</v>
      </c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1001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135">
        <v>0</v>
      </c>
      <c r="E11" s="136"/>
    </row>
    <row r="12" spans="2:5" ht="16.5" thickBot="1">
      <c r="B12" s="1398" t="s">
        <v>646</v>
      </c>
      <c r="C12" s="1399"/>
      <c r="D12" s="137">
        <v>17064.2</v>
      </c>
      <c r="E12" s="136"/>
    </row>
    <row r="13" spans="2:5" ht="16.5" thickBot="1">
      <c r="B13" s="1398" t="s">
        <v>647</v>
      </c>
      <c r="C13" s="1399"/>
      <c r="D13" s="135">
        <v>13026.53</v>
      </c>
      <c r="E13" s="136"/>
    </row>
    <row r="14" spans="2:5" ht="16.5" hidden="1" thickBot="1">
      <c r="B14" s="1398" t="s">
        <v>666</v>
      </c>
      <c r="C14" s="1399"/>
      <c r="D14" s="135"/>
      <c r="E14" s="136"/>
    </row>
    <row r="15" spans="2:5" ht="16.5" thickBot="1">
      <c r="B15" s="1398" t="s">
        <v>648</v>
      </c>
      <c r="C15" s="1399"/>
      <c r="D15" s="135">
        <f>D12-D13</f>
        <v>4037.67</v>
      </c>
      <c r="E15" s="136"/>
    </row>
    <row r="16" spans="2:5" ht="16.5" thickBot="1">
      <c r="B16" s="1398" t="s">
        <v>806</v>
      </c>
      <c r="C16" s="1399"/>
      <c r="D16" s="170">
        <f>E22</f>
        <v>91851.02</v>
      </c>
      <c r="E16" s="138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48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E23+E24+E25+E29</f>
        <v>91851.02</v>
      </c>
    </row>
    <row r="23" spans="1:5" ht="32.25" thickBot="1">
      <c r="A23" s="11"/>
      <c r="B23" s="67" t="s">
        <v>662</v>
      </c>
      <c r="C23" s="64" t="s">
        <v>652</v>
      </c>
      <c r="D23" s="43"/>
      <c r="E23" s="230">
        <v>85630.33</v>
      </c>
    </row>
    <row r="24" spans="2:5" ht="16.5" thickBot="1">
      <c r="B24" s="67" t="s">
        <v>654</v>
      </c>
      <c r="C24" s="48" t="s">
        <v>656</v>
      </c>
      <c r="D24" s="43" t="s">
        <v>801</v>
      </c>
      <c r="E24" s="230">
        <v>2525.11</v>
      </c>
    </row>
    <row r="25" spans="2:5" ht="16.5" thickBot="1">
      <c r="B25" s="69" t="s">
        <v>685</v>
      </c>
      <c r="C25" s="212" t="s">
        <v>817</v>
      </c>
      <c r="D25" s="43" t="s">
        <v>801</v>
      </c>
      <c r="E25" s="231">
        <v>451.23</v>
      </c>
    </row>
    <row r="26" spans="2:5" ht="20.25" hidden="1" thickBot="1">
      <c r="B26" s="14" t="s">
        <v>760</v>
      </c>
      <c r="C26" s="17"/>
      <c r="E26" s="87"/>
    </row>
    <row r="27" spans="2:5" ht="32.25" hidden="1" thickBot="1">
      <c r="B27" s="16" t="s">
        <v>672</v>
      </c>
      <c r="C27" s="15" t="s">
        <v>759</v>
      </c>
      <c r="D27" s="49" t="s">
        <v>673</v>
      </c>
      <c r="E27" s="232" t="s">
        <v>793</v>
      </c>
    </row>
    <row r="28" spans="2:5" ht="18" hidden="1">
      <c r="B28" s="19" t="s">
        <v>682</v>
      </c>
      <c r="C28" s="2"/>
      <c r="D28" s="50"/>
      <c r="E28" s="84"/>
    </row>
    <row r="29" spans="2:5" ht="15.75">
      <c r="B29" s="213" t="s">
        <v>1008</v>
      </c>
      <c r="C29" s="214" t="s">
        <v>675</v>
      </c>
      <c r="D29" s="215"/>
      <c r="E29" s="233">
        <v>3244.35</v>
      </c>
    </row>
    <row r="30" spans="1:5" ht="15.75" hidden="1">
      <c r="A30" s="6"/>
      <c r="B30" s="77" t="s">
        <v>821</v>
      </c>
      <c r="C30" s="78"/>
      <c r="D30" s="79"/>
      <c r="E30" s="234">
        <f>SUM(E28:E29)</f>
        <v>3244.35</v>
      </c>
    </row>
    <row r="31" spans="2:5" ht="15.75" thickBot="1">
      <c r="B31" s="21"/>
      <c r="C31" s="30"/>
      <c r="D31" s="53"/>
      <c r="E31" s="235"/>
    </row>
    <row r="32" spans="2:5" ht="15">
      <c r="B32" s="71"/>
      <c r="C32" s="11"/>
      <c r="D32" s="11"/>
      <c r="E32" s="207"/>
    </row>
    <row r="33" spans="2:5" ht="15">
      <c r="B33" s="71"/>
      <c r="C33" s="11"/>
      <c r="D33" s="11"/>
      <c r="E33" s="207"/>
    </row>
    <row r="34" spans="2:5" ht="15">
      <c r="B34" s="71"/>
      <c r="C34" s="11"/>
      <c r="D34" s="11"/>
      <c r="E34" s="11"/>
    </row>
    <row r="35" spans="2:5" ht="15">
      <c r="B35" s="71"/>
      <c r="C35" s="11"/>
      <c r="D35" s="11"/>
      <c r="E35" s="11"/>
    </row>
    <row r="36" spans="2:5" ht="15">
      <c r="B36" s="71"/>
      <c r="C36" s="11"/>
      <c r="D36" s="11"/>
      <c r="E36" s="11"/>
    </row>
    <row r="37" spans="2:5" ht="15">
      <c r="B37" s="71"/>
      <c r="C37" s="11"/>
      <c r="D37" s="11"/>
      <c r="E37" s="11"/>
    </row>
    <row r="38" spans="2:3" ht="15.75">
      <c r="B38" s="6" t="s">
        <v>830</v>
      </c>
      <c r="C38" s="6" t="s">
        <v>1002</v>
      </c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5" ht="15.75">
      <c r="B45" s="7"/>
    </row>
  </sheetData>
  <sheetProtection/>
  <mergeCells count="13">
    <mergeCell ref="B7:C7"/>
    <mergeCell ref="B9:C10"/>
    <mergeCell ref="B19:E19"/>
    <mergeCell ref="B12:C12"/>
    <mergeCell ref="B13:C13"/>
    <mergeCell ref="B14:C14"/>
    <mergeCell ref="B15:C15"/>
    <mergeCell ref="B16:C16"/>
    <mergeCell ref="B18:E18"/>
    <mergeCell ref="B2:C2"/>
    <mergeCell ref="B3:C3"/>
    <mergeCell ref="B4:C4"/>
    <mergeCell ref="B5:C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99CC"/>
  </sheetPr>
  <dimension ref="A2:G17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2" ht="12.75">
      <c r="D2" s="1" t="s">
        <v>792</v>
      </c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804</v>
      </c>
      <c r="B6" s="1363"/>
      <c r="C6" s="91"/>
      <c r="D6" s="91"/>
    </row>
    <row r="7" spans="1:3" ht="10.5" customHeight="1">
      <c r="A7" s="26"/>
      <c r="B7" s="26"/>
      <c r="C7"/>
    </row>
    <row r="8" spans="1:4" ht="15">
      <c r="A8" s="1343" t="s">
        <v>344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1366" t="s">
        <v>642</v>
      </c>
      <c r="B10" s="1367"/>
      <c r="C10" s="1366" t="s">
        <v>488</v>
      </c>
      <c r="D10" s="1367"/>
    </row>
    <row r="11" spans="1:4" ht="12.75">
      <c r="A11" s="1368"/>
      <c r="B11" s="1369"/>
      <c r="C11" s="1368"/>
      <c r="D11" s="1369"/>
    </row>
    <row r="12" spans="1:4" ht="15">
      <c r="A12" s="372" t="s">
        <v>347</v>
      </c>
      <c r="B12" s="472"/>
      <c r="C12" s="1318">
        <v>57579.85</v>
      </c>
      <c r="D12" s="1319"/>
    </row>
    <row r="13" spans="1:4" ht="15">
      <c r="A13" s="471" t="s">
        <v>854</v>
      </c>
      <c r="B13" s="473"/>
      <c r="C13" s="1336">
        <v>85944.36</v>
      </c>
      <c r="D13" s="1337"/>
    </row>
    <row r="14" spans="1:4" ht="15">
      <c r="A14" s="470" t="s">
        <v>647</v>
      </c>
      <c r="B14" s="474"/>
      <c r="C14" s="1338">
        <v>103087.44</v>
      </c>
      <c r="D14" s="1339"/>
    </row>
    <row r="15" spans="1:7" ht="15">
      <c r="A15" s="475" t="s">
        <v>348</v>
      </c>
      <c r="B15" s="476"/>
      <c r="C15" s="1318">
        <f>C12+C13-C14</f>
        <v>40436.76999999999</v>
      </c>
      <c r="D15" s="1319"/>
      <c r="G15" s="111"/>
    </row>
    <row r="16" spans="1:4" ht="14.25">
      <c r="A16" s="470" t="s">
        <v>540</v>
      </c>
      <c r="B16" s="527"/>
      <c r="C16" s="1318">
        <v>102373.18</v>
      </c>
      <c r="D16" s="1319"/>
    </row>
    <row r="17" spans="1:4" ht="12.75">
      <c r="A17" s="82"/>
      <c r="B17" s="83"/>
      <c r="C17" s="83"/>
      <c r="D17" s="83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346</v>
      </c>
      <c r="B19" s="1340"/>
      <c r="C19" s="1340"/>
      <c r="D19" s="1340"/>
    </row>
    <row r="20" spans="1:4" ht="12.75">
      <c r="A20" s="82"/>
      <c r="B20" s="82"/>
      <c r="C20" s="103"/>
      <c r="D20" s="82"/>
    </row>
    <row r="21" spans="1:4" ht="26.25" thickBot="1">
      <c r="A21" s="501" t="s">
        <v>892</v>
      </c>
      <c r="B21" s="502" t="s">
        <v>667</v>
      </c>
      <c r="C21" s="499" t="s">
        <v>673</v>
      </c>
      <c r="D21" s="503" t="s">
        <v>793</v>
      </c>
    </row>
    <row r="22" spans="1:4" ht="16.5" thickBot="1">
      <c r="A22" s="477" t="s">
        <v>913</v>
      </c>
      <c r="B22" s="455"/>
      <c r="C22" s="456"/>
      <c r="D22" s="685"/>
    </row>
    <row r="23" spans="1:4" ht="25.5">
      <c r="A23" s="546" t="s">
        <v>105</v>
      </c>
      <c r="B23" s="637" t="s">
        <v>652</v>
      </c>
      <c r="C23" s="671"/>
      <c r="D23" s="689">
        <v>16938.05</v>
      </c>
    </row>
    <row r="24" spans="1:4" ht="15">
      <c r="A24" s="537" t="s">
        <v>654</v>
      </c>
      <c r="B24" s="536" t="s">
        <v>656</v>
      </c>
      <c r="C24" s="536" t="s">
        <v>801</v>
      </c>
      <c r="D24" s="528">
        <v>9923.71</v>
      </c>
    </row>
    <row r="25" spans="1:4" ht="15">
      <c r="A25" s="389" t="s">
        <v>428</v>
      </c>
      <c r="B25" s="490" t="s">
        <v>661</v>
      </c>
      <c r="C25" s="491"/>
      <c r="D25" s="402">
        <v>4016.16</v>
      </c>
    </row>
    <row r="26" spans="1:4" ht="15.75" thickBot="1">
      <c r="A26" s="390" t="s">
        <v>799</v>
      </c>
      <c r="B26" s="535" t="s">
        <v>817</v>
      </c>
      <c r="C26" s="405"/>
      <c r="D26" s="512">
        <v>15204.43</v>
      </c>
    </row>
    <row r="27" spans="1:4" ht="15.75" thickBot="1">
      <c r="A27" s="805" t="s">
        <v>901</v>
      </c>
      <c r="B27" s="870"/>
      <c r="C27" s="796"/>
      <c r="D27" s="939">
        <v>46082.35</v>
      </c>
    </row>
    <row r="28" spans="1:4" ht="15.75" thickBot="1">
      <c r="A28" s="487" t="s">
        <v>914</v>
      </c>
      <c r="B28" s="461"/>
      <c r="C28" s="462"/>
      <c r="D28" s="463"/>
    </row>
    <row r="29" spans="1:4" ht="24">
      <c r="A29" s="808" t="s">
        <v>194</v>
      </c>
      <c r="B29" s="514" t="s">
        <v>920</v>
      </c>
      <c r="C29" s="515" t="s">
        <v>673</v>
      </c>
      <c r="D29" s="516" t="s">
        <v>793</v>
      </c>
    </row>
    <row r="30" spans="1:4" ht="15.75" thickBot="1">
      <c r="A30" s="799" t="s">
        <v>11</v>
      </c>
      <c r="B30" s="758"/>
      <c r="C30" s="807"/>
      <c r="D30" s="541">
        <v>1621.67</v>
      </c>
    </row>
    <row r="31" spans="1:4" ht="15.75" thickBot="1">
      <c r="A31" s="806" t="s">
        <v>701</v>
      </c>
      <c r="B31" s="825"/>
      <c r="C31" s="1013"/>
      <c r="D31" s="858">
        <v>1621.67</v>
      </c>
    </row>
    <row r="32" spans="1:4" ht="15">
      <c r="A32" s="808" t="s">
        <v>457</v>
      </c>
      <c r="B32" s="800"/>
      <c r="C32" s="377"/>
      <c r="D32" s="441"/>
    </row>
    <row r="33" spans="1:4" ht="15">
      <c r="A33" s="377" t="s">
        <v>378</v>
      </c>
      <c r="B33" s="677"/>
      <c r="C33" s="359">
        <v>1</v>
      </c>
      <c r="D33" s="425">
        <v>26603</v>
      </c>
    </row>
    <row r="34" spans="1:4" ht="15">
      <c r="A34" s="359" t="s">
        <v>239</v>
      </c>
      <c r="B34" s="365" t="s">
        <v>40</v>
      </c>
      <c r="C34" s="359">
        <v>1</v>
      </c>
      <c r="D34" s="424">
        <v>1420.55</v>
      </c>
    </row>
    <row r="35" spans="1:4" ht="15.75" thickBot="1">
      <c r="A35" s="390" t="s">
        <v>393</v>
      </c>
      <c r="B35" s="748"/>
      <c r="C35" s="617">
        <v>1</v>
      </c>
      <c r="D35" s="618">
        <v>661.84</v>
      </c>
    </row>
    <row r="36" spans="1:4" ht="15.75" thickBot="1">
      <c r="A36" s="805" t="s">
        <v>701</v>
      </c>
      <c r="B36" s="817"/>
      <c r="C36" s="854"/>
      <c r="D36" s="1040">
        <v>28685.39</v>
      </c>
    </row>
    <row r="37" spans="1:4" ht="15">
      <c r="A37" s="813" t="s">
        <v>192</v>
      </c>
      <c r="B37" s="819"/>
      <c r="C37" s="404"/>
      <c r="D37" s="396"/>
    </row>
    <row r="38" spans="1:4" ht="15.75" thickBot="1">
      <c r="A38" s="390" t="s">
        <v>479</v>
      </c>
      <c r="B38" s="748" t="s">
        <v>52</v>
      </c>
      <c r="C38" s="617">
        <v>1</v>
      </c>
      <c r="D38" s="618">
        <v>1148.64</v>
      </c>
    </row>
    <row r="39" spans="1:4" ht="15.75" thickBot="1">
      <c r="A39" s="805" t="s">
        <v>701</v>
      </c>
      <c r="B39" s="817"/>
      <c r="C39" s="854"/>
      <c r="D39" s="1040">
        <v>1148.64</v>
      </c>
    </row>
    <row r="40" spans="1:4" ht="15">
      <c r="A40" s="1188" t="s">
        <v>433</v>
      </c>
      <c r="B40" s="814"/>
      <c r="C40" s="1121"/>
      <c r="D40" s="631"/>
    </row>
    <row r="41" spans="1:4" ht="15.75" thickBot="1">
      <c r="A41" s="889" t="s">
        <v>886</v>
      </c>
      <c r="B41" s="816" t="s">
        <v>40</v>
      </c>
      <c r="C41" s="610">
        <v>2</v>
      </c>
      <c r="D41" s="618">
        <v>807.58</v>
      </c>
    </row>
    <row r="42" spans="1:4" ht="15.75" thickBot="1">
      <c r="A42" s="805" t="s">
        <v>701</v>
      </c>
      <c r="B42" s="817"/>
      <c r="C42" s="1122"/>
      <c r="D42" s="1040">
        <v>807.58</v>
      </c>
    </row>
    <row r="43" spans="1:4" ht="15">
      <c r="A43" s="1120"/>
      <c r="B43" s="814"/>
      <c r="C43" s="1121"/>
      <c r="D43" s="631"/>
    </row>
    <row r="44" spans="1:4" ht="15.75" thickBot="1">
      <c r="A44" s="1123"/>
      <c r="B44" s="822"/>
      <c r="C44" s="506"/>
      <c r="D44" s="396"/>
    </row>
    <row r="45" spans="1:4" ht="15.75" thickBot="1">
      <c r="A45" s="805" t="s">
        <v>458</v>
      </c>
      <c r="B45" s="817"/>
      <c r="C45" s="1122"/>
      <c r="D45" s="1040">
        <v>32263.28</v>
      </c>
    </row>
    <row r="46" spans="1:4" ht="15">
      <c r="A46" s="540"/>
      <c r="B46" s="819"/>
      <c r="C46" s="404"/>
      <c r="D46" s="396"/>
    </row>
    <row r="47" spans="1:4" ht="15">
      <c r="A47" s="794" t="s">
        <v>453</v>
      </c>
      <c r="B47" s="748"/>
      <c r="C47" s="617"/>
      <c r="D47" s="1119">
        <v>3674.68</v>
      </c>
    </row>
    <row r="48" spans="1:4" ht="15">
      <c r="A48" s="944" t="s">
        <v>904</v>
      </c>
      <c r="B48" s="365"/>
      <c r="C48" s="358"/>
      <c r="D48" s="891">
        <v>1446</v>
      </c>
    </row>
    <row r="49" spans="1:4" ht="15">
      <c r="A49" s="944" t="s">
        <v>735</v>
      </c>
      <c r="B49" s="365"/>
      <c r="C49" s="369"/>
      <c r="D49" s="428">
        <v>18906.87</v>
      </c>
    </row>
    <row r="50" spans="1:4" ht="15.75" thickBot="1">
      <c r="A50" s="902"/>
      <c r="B50" s="1065"/>
      <c r="C50" s="435"/>
      <c r="D50" s="1077"/>
    </row>
    <row r="51" spans="1:4" ht="15.75" thickBot="1">
      <c r="A51" s="806" t="s">
        <v>918</v>
      </c>
      <c r="B51" s="811"/>
      <c r="C51" s="907"/>
      <c r="D51" s="858">
        <v>102373.18</v>
      </c>
    </row>
    <row r="52" spans="1:4" ht="14.25">
      <c r="A52" s="530"/>
      <c r="B52" s="440"/>
      <c r="C52" s="531"/>
      <c r="D52" s="531"/>
    </row>
    <row r="53" spans="1:4" ht="15">
      <c r="A53" s="1251" t="s">
        <v>568</v>
      </c>
      <c r="B53" s="1257"/>
      <c r="C53" s="467"/>
      <c r="D53" s="467">
        <v>0</v>
      </c>
    </row>
    <row r="54" spans="1:4" ht="15">
      <c r="A54" s="1332" t="s">
        <v>569</v>
      </c>
      <c r="B54" s="1332"/>
      <c r="C54" s="628"/>
      <c r="D54" s="608">
        <v>103087.44</v>
      </c>
    </row>
    <row r="55" spans="1:4" ht="15">
      <c r="A55" s="1332" t="s">
        <v>570</v>
      </c>
      <c r="B55" s="1332"/>
      <c r="C55" s="607"/>
      <c r="D55" s="608">
        <v>102373.18</v>
      </c>
    </row>
    <row r="56" spans="1:4" ht="15">
      <c r="A56" s="1333" t="s">
        <v>571</v>
      </c>
      <c r="B56" s="1333"/>
      <c r="C56" s="629"/>
      <c r="D56" s="629">
        <v>-714.26</v>
      </c>
    </row>
    <row r="57" spans="1:4" ht="15">
      <c r="A57" s="1332" t="s">
        <v>179</v>
      </c>
      <c r="B57" s="1332"/>
      <c r="C57" s="1258"/>
      <c r="D57" s="630">
        <v>-714.26</v>
      </c>
    </row>
    <row r="58" spans="1:4" ht="15">
      <c r="A58" s="538"/>
      <c r="B58" s="538"/>
      <c r="C58" s="1259"/>
      <c r="D58" s="1260"/>
    </row>
    <row r="59" spans="1:4" ht="15">
      <c r="A59" s="538"/>
      <c r="B59" s="538"/>
      <c r="C59" s="1259"/>
      <c r="D59" s="1260"/>
    </row>
    <row r="60" spans="1:4" ht="15">
      <c r="A60" s="538"/>
      <c r="B60" s="538"/>
      <c r="C60" s="1259"/>
      <c r="D60" s="1260"/>
    </row>
    <row r="61" spans="1:4" ht="15">
      <c r="A61" s="538" t="s">
        <v>181</v>
      </c>
      <c r="B61" s="538"/>
      <c r="C61" s="1259" t="s">
        <v>573</v>
      </c>
      <c r="D61" s="1260"/>
    </row>
    <row r="62" spans="1:4" ht="15">
      <c r="A62" s="538"/>
      <c r="B62" s="538"/>
      <c r="C62" s="1259"/>
      <c r="D62" s="1260"/>
    </row>
    <row r="63" ht="12.75">
      <c r="A63" s="735" t="s">
        <v>357</v>
      </c>
    </row>
    <row r="64" ht="12.75">
      <c r="A64" s="735" t="s">
        <v>906</v>
      </c>
    </row>
    <row r="65" ht="12.75">
      <c r="A65" s="735" t="s">
        <v>358</v>
      </c>
    </row>
    <row r="68" spans="1:4" ht="12.75">
      <c r="A68" s="11"/>
      <c r="B68" s="11"/>
      <c r="C68" s="11"/>
      <c r="D68" s="11"/>
    </row>
    <row r="69" spans="1:4" ht="22.5">
      <c r="A69" s="1402"/>
      <c r="B69" s="1402"/>
      <c r="C69" s="694"/>
      <c r="D69" s="694"/>
    </row>
    <row r="70" spans="1:4" ht="15.75">
      <c r="A70" s="1403"/>
      <c r="B70" s="1403"/>
      <c r="C70" s="90"/>
      <c r="D70" s="90"/>
    </row>
    <row r="71" spans="1:4" ht="15.75">
      <c r="A71" s="1403"/>
      <c r="B71" s="1403"/>
      <c r="C71" s="90"/>
      <c r="D71" s="90"/>
    </row>
    <row r="72" spans="1:4" ht="15.75">
      <c r="A72" s="1403"/>
      <c r="B72" s="1403"/>
      <c r="C72" s="90"/>
      <c r="D72" s="90"/>
    </row>
    <row r="73" spans="1:4" ht="18.75">
      <c r="A73" s="695"/>
      <c r="B73" s="695"/>
      <c r="C73" s="416"/>
      <c r="D73" s="11"/>
    </row>
    <row r="74" spans="1:4" ht="15">
      <c r="A74" s="1404"/>
      <c r="B74" s="1404"/>
      <c r="C74" s="436"/>
      <c r="D74" s="436"/>
    </row>
    <row r="75" spans="1:4" ht="15">
      <c r="A75" s="149"/>
      <c r="B75" s="149"/>
      <c r="C75" s="436"/>
      <c r="D75" s="436"/>
    </row>
    <row r="76" spans="1:4" ht="12.75" customHeight="1">
      <c r="A76" s="1405"/>
      <c r="B76" s="1405"/>
      <c r="C76" s="1405"/>
      <c r="D76" s="1405"/>
    </row>
    <row r="77" spans="1:4" ht="12.75">
      <c r="A77" s="1405"/>
      <c r="B77" s="1405"/>
      <c r="C77" s="1405"/>
      <c r="D77" s="1405"/>
    </row>
    <row r="78" spans="1:4" ht="15">
      <c r="A78" s="353"/>
      <c r="B78" s="696"/>
      <c r="C78" s="1400"/>
      <c r="D78" s="1400"/>
    </row>
    <row r="79" spans="1:4" ht="15">
      <c r="A79" s="538"/>
      <c r="B79" s="538"/>
      <c r="C79" s="1406"/>
      <c r="D79" s="1406"/>
    </row>
    <row r="80" spans="1:4" ht="15">
      <c r="A80" s="538"/>
      <c r="B80" s="538"/>
      <c r="C80" s="1401"/>
      <c r="D80" s="1401"/>
    </row>
    <row r="81" spans="1:4" ht="15">
      <c r="A81" s="353"/>
      <c r="B81" s="353"/>
      <c r="C81" s="1400"/>
      <c r="D81" s="1400"/>
    </row>
    <row r="82" spans="1:4" ht="15">
      <c r="A82" s="538"/>
      <c r="B82" s="538"/>
      <c r="C82" s="1401"/>
      <c r="D82" s="1401"/>
    </row>
    <row r="83" spans="1:4" ht="12.75">
      <c r="A83" s="103"/>
      <c r="B83" s="697"/>
      <c r="C83" s="697"/>
      <c r="D83" s="697"/>
    </row>
    <row r="84" spans="1:4" ht="15.75">
      <c r="A84" s="1315"/>
      <c r="B84" s="1315"/>
      <c r="C84" s="1315"/>
      <c r="D84" s="1315"/>
    </row>
    <row r="85" spans="1:4" ht="15.75">
      <c r="A85" s="1315"/>
      <c r="B85" s="1315"/>
      <c r="C85" s="1315"/>
      <c r="D85" s="1315"/>
    </row>
    <row r="86" spans="1:4" ht="12.75">
      <c r="A86" s="103"/>
      <c r="B86" s="103"/>
      <c r="C86" s="103"/>
      <c r="D86" s="103"/>
    </row>
    <row r="87" spans="1:4" ht="12.75">
      <c r="A87" s="698"/>
      <c r="B87" s="699"/>
      <c r="C87" s="17"/>
      <c r="D87" s="700"/>
    </row>
    <row r="88" spans="1:4" ht="15.75">
      <c r="A88" s="701"/>
      <c r="B88" s="702"/>
      <c r="C88" s="144"/>
      <c r="D88" s="703"/>
    </row>
    <row r="89" spans="1:4" ht="15.75">
      <c r="A89" s="411"/>
      <c r="B89" s="704"/>
      <c r="C89" s="144"/>
      <c r="D89" s="705"/>
    </row>
    <row r="90" spans="1:4" ht="15">
      <c r="A90" s="411"/>
      <c r="B90" s="395"/>
      <c r="C90" s="395"/>
      <c r="D90" s="706"/>
    </row>
    <row r="91" spans="1:4" ht="15">
      <c r="A91" s="411"/>
      <c r="B91" s="403"/>
      <c r="C91" s="403"/>
      <c r="D91" s="707"/>
    </row>
    <row r="92" spans="1:4" ht="15">
      <c r="A92" s="411"/>
      <c r="B92" s="412"/>
      <c r="C92" s="395"/>
      <c r="D92" s="707"/>
    </row>
    <row r="93" spans="1:4" ht="15">
      <c r="A93" s="356"/>
      <c r="B93" s="357"/>
      <c r="C93" s="531"/>
      <c r="D93" s="371"/>
    </row>
    <row r="94" spans="1:4" ht="15">
      <c r="A94" s="708"/>
      <c r="B94" s="357"/>
      <c r="C94" s="357"/>
      <c r="D94" s="709"/>
    </row>
    <row r="95" spans="1:4" ht="15">
      <c r="A95" s="531"/>
      <c r="B95" s="357"/>
      <c r="C95" s="357"/>
      <c r="D95" s="710"/>
    </row>
    <row r="96" spans="1:4" ht="15">
      <c r="A96" s="711"/>
      <c r="B96" s="440"/>
      <c r="C96" s="531"/>
      <c r="D96" s="573"/>
    </row>
    <row r="97" spans="1:4" ht="15">
      <c r="A97" s="708"/>
      <c r="B97" s="379"/>
      <c r="C97" s="531"/>
      <c r="D97" s="661"/>
    </row>
    <row r="98" spans="1:4" ht="15">
      <c r="A98" s="531"/>
      <c r="B98" s="712"/>
      <c r="C98" s="531"/>
      <c r="D98" s="573"/>
    </row>
    <row r="99" spans="1:4" ht="15">
      <c r="A99" s="531"/>
      <c r="B99" s="712"/>
      <c r="C99" s="531"/>
      <c r="D99" s="573"/>
    </row>
    <row r="100" spans="1:4" ht="15">
      <c r="A100" s="531"/>
      <c r="B100" s="712"/>
      <c r="C100" s="531"/>
      <c r="D100" s="661"/>
    </row>
    <row r="101" spans="1:4" ht="15">
      <c r="A101" s="531"/>
      <c r="B101" s="621"/>
      <c r="C101" s="531"/>
      <c r="D101" s="661"/>
    </row>
    <row r="102" spans="1:4" ht="15">
      <c r="A102" s="531"/>
      <c r="B102" s="712"/>
      <c r="C102" s="531"/>
      <c r="D102" s="661"/>
    </row>
    <row r="103" spans="1:4" ht="15">
      <c r="A103" s="531"/>
      <c r="B103" s="440"/>
      <c r="C103" s="440"/>
      <c r="D103" s="713"/>
    </row>
    <row r="104" spans="1:4" ht="15">
      <c r="A104" s="531"/>
      <c r="B104" s="440"/>
      <c r="C104" s="531"/>
      <c r="D104" s="661"/>
    </row>
    <row r="105" spans="1:4" ht="15">
      <c r="A105" s="708"/>
      <c r="B105" s="714"/>
      <c r="C105" s="661"/>
      <c r="D105" s="600"/>
    </row>
    <row r="106" spans="1:4" ht="15">
      <c r="A106" s="572"/>
      <c r="B106" s="440"/>
      <c r="C106" s="715"/>
      <c r="D106" s="573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</sheetData>
  <sheetProtection/>
  <mergeCells count="32">
    <mergeCell ref="A8:B8"/>
    <mergeCell ref="A10:B11"/>
    <mergeCell ref="C10:D11"/>
    <mergeCell ref="C12:D12"/>
    <mergeCell ref="A3:B3"/>
    <mergeCell ref="A4:B4"/>
    <mergeCell ref="A5:B5"/>
    <mergeCell ref="A6:B6"/>
    <mergeCell ref="C13:D13"/>
    <mergeCell ref="C14:D14"/>
    <mergeCell ref="A18:D18"/>
    <mergeCell ref="A19:D19"/>
    <mergeCell ref="C15:D15"/>
    <mergeCell ref="C16:D16"/>
    <mergeCell ref="C79:D79"/>
    <mergeCell ref="C80:D80"/>
    <mergeCell ref="C76:D77"/>
    <mergeCell ref="C78:D78"/>
    <mergeCell ref="A69:B69"/>
    <mergeCell ref="A70:B70"/>
    <mergeCell ref="A74:B74"/>
    <mergeCell ref="A76:B77"/>
    <mergeCell ref="A71:B71"/>
    <mergeCell ref="A72:B72"/>
    <mergeCell ref="C81:D81"/>
    <mergeCell ref="C82:D82"/>
    <mergeCell ref="A84:D84"/>
    <mergeCell ref="A85:D85"/>
    <mergeCell ref="A54:B54"/>
    <mergeCell ref="A55:B55"/>
    <mergeCell ref="A56:B56"/>
    <mergeCell ref="A57:B5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3:I8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64.421875" style="1" customWidth="1"/>
    <col min="2" max="2" width="9.421875" style="1" customWidth="1"/>
    <col min="3" max="3" width="14.28125" style="1" customWidth="1"/>
    <col min="4" max="4" width="15.140625" style="1" customWidth="1"/>
    <col min="5" max="5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491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766" t="s">
        <v>551</v>
      </c>
      <c r="D11" s="767" t="s">
        <v>649</v>
      </c>
    </row>
    <row r="12" spans="1:4" ht="28.5" customHeight="1" thickBot="1">
      <c r="A12" s="1368"/>
      <c r="B12" s="1369"/>
      <c r="C12" s="768" t="s">
        <v>349</v>
      </c>
      <c r="D12" s="770" t="s">
        <v>350</v>
      </c>
    </row>
    <row r="13" spans="1:4" ht="15.75" thickBot="1">
      <c r="A13" s="372" t="s">
        <v>347</v>
      </c>
      <c r="B13" s="472"/>
      <c r="C13" s="769">
        <v>234344.89</v>
      </c>
      <c r="D13" s="773">
        <v>5908.97</v>
      </c>
    </row>
    <row r="14" spans="1:4" ht="14.25">
      <c r="A14" s="471" t="s">
        <v>538</v>
      </c>
      <c r="B14" s="473"/>
      <c r="C14" s="691">
        <v>858657.97</v>
      </c>
      <c r="D14" s="774">
        <v>162344.84</v>
      </c>
    </row>
    <row r="15" spans="1:6" ht="14.25">
      <c r="A15" s="470" t="s">
        <v>647</v>
      </c>
      <c r="B15" s="527"/>
      <c r="C15" s="772">
        <v>927110.76</v>
      </c>
      <c r="D15" s="771">
        <v>141732.24</v>
      </c>
      <c r="F15" t="s">
        <v>465</v>
      </c>
    </row>
    <row r="16" spans="1:6" ht="15">
      <c r="A16" s="475" t="s">
        <v>348</v>
      </c>
      <c r="B16" s="476"/>
      <c r="C16" s="775">
        <v>165892.1</v>
      </c>
      <c r="D16" s="776">
        <v>26521.57</v>
      </c>
      <c r="F16" s="111"/>
    </row>
    <row r="17" spans="1:4" ht="15" thickBot="1">
      <c r="A17" s="470" t="s">
        <v>540</v>
      </c>
      <c r="B17" s="474"/>
      <c r="C17" s="1252">
        <v>926037.35</v>
      </c>
      <c r="D17" s="777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660" t="s">
        <v>477</v>
      </c>
      <c r="B22" s="482" t="s">
        <v>667</v>
      </c>
      <c r="C22" s="409" t="s">
        <v>673</v>
      </c>
      <c r="D22" s="453" t="s">
        <v>793</v>
      </c>
    </row>
    <row r="23" spans="1:4" ht="16.5" thickBot="1">
      <c r="A23" s="477" t="s">
        <v>913</v>
      </c>
      <c r="B23" s="483"/>
      <c r="C23" s="456"/>
      <c r="D23" s="664"/>
    </row>
    <row r="24" spans="1:4" ht="26.25">
      <c r="A24" s="546" t="s">
        <v>105</v>
      </c>
      <c r="B24" s="394" t="s">
        <v>652</v>
      </c>
      <c r="C24" s="1278"/>
      <c r="D24" s="631">
        <v>152507.55</v>
      </c>
    </row>
    <row r="25" spans="1:4" ht="15.75" customHeight="1">
      <c r="A25" s="492" t="s">
        <v>910</v>
      </c>
      <c r="B25" s="399" t="s">
        <v>656</v>
      </c>
      <c r="C25" s="508"/>
      <c r="D25" s="396">
        <v>89346.46</v>
      </c>
    </row>
    <row r="26" spans="1:4" ht="25.5" customHeight="1">
      <c r="A26" s="492" t="s">
        <v>14</v>
      </c>
      <c r="B26" s="399" t="s">
        <v>33</v>
      </c>
      <c r="C26" s="400"/>
      <c r="D26" s="393">
        <v>111701.01</v>
      </c>
    </row>
    <row r="27" spans="1:6" ht="19.5" customHeight="1" thickBot="1">
      <c r="A27" s="413" t="s">
        <v>17</v>
      </c>
      <c r="B27" s="649" t="s">
        <v>817</v>
      </c>
      <c r="C27" s="458"/>
      <c r="D27" s="459">
        <v>7933.84</v>
      </c>
      <c r="F27" t="s">
        <v>465</v>
      </c>
    </row>
    <row r="28" spans="1:4" ht="15.75" thickBot="1">
      <c r="A28" s="871" t="s">
        <v>901</v>
      </c>
      <c r="B28" s="870"/>
      <c r="C28" s="872"/>
      <c r="D28" s="839">
        <v>361488.86</v>
      </c>
    </row>
    <row r="29" spans="1:7" ht="15.75" thickBot="1">
      <c r="A29" s="487" t="s">
        <v>914</v>
      </c>
      <c r="B29" s="461"/>
      <c r="C29" s="462"/>
      <c r="D29" s="463"/>
      <c r="G29" s="624"/>
    </row>
    <row r="30" spans="1:4" ht="14.25">
      <c r="A30" s="513" t="s">
        <v>20</v>
      </c>
      <c r="B30" s="433" t="s">
        <v>920</v>
      </c>
      <c r="C30" s="433" t="s">
        <v>673</v>
      </c>
      <c r="D30" s="444"/>
    </row>
    <row r="31" spans="1:4" ht="15">
      <c r="A31" s="385" t="s">
        <v>109</v>
      </c>
      <c r="B31" s="621" t="s">
        <v>478</v>
      </c>
      <c r="C31" s="441">
        <v>1</v>
      </c>
      <c r="D31" s="598">
        <v>842.63</v>
      </c>
    </row>
    <row r="32" spans="1:4" ht="15.75">
      <c r="A32" s="542" t="s">
        <v>19</v>
      </c>
      <c r="B32" s="365"/>
      <c r="C32" s="615"/>
      <c r="D32" s="532">
        <v>56245.87</v>
      </c>
    </row>
    <row r="33" spans="1:4" ht="15.75">
      <c r="A33" s="542" t="s">
        <v>592</v>
      </c>
      <c r="B33" s="365" t="s">
        <v>229</v>
      </c>
      <c r="C33" s="615"/>
      <c r="D33" s="532">
        <v>220136.95</v>
      </c>
    </row>
    <row r="34" spans="1:4" ht="15.75" thickBot="1">
      <c r="A34" s="390"/>
      <c r="B34" s="873"/>
      <c r="C34" s="616"/>
      <c r="D34" s="541"/>
    </row>
    <row r="35" spans="1:4" ht="15.75" thickBot="1">
      <c r="A35" s="805" t="s">
        <v>701</v>
      </c>
      <c r="B35" s="874"/>
      <c r="C35" s="550"/>
      <c r="D35" s="858">
        <v>277225.45</v>
      </c>
    </row>
    <row r="36" spans="1:9" ht="15">
      <c r="A36" s="545" t="s">
        <v>21</v>
      </c>
      <c r="B36" s="366"/>
      <c r="C36" s="615"/>
      <c r="D36" s="532"/>
      <c r="G36" s="111"/>
      <c r="I36" s="111"/>
    </row>
    <row r="37" spans="1:4" ht="15.75">
      <c r="A37" s="542" t="s">
        <v>235</v>
      </c>
      <c r="B37" s="365" t="s">
        <v>211</v>
      </c>
      <c r="C37" s="615">
        <v>4</v>
      </c>
      <c r="D37" s="532">
        <v>10760.28</v>
      </c>
    </row>
    <row r="38" spans="1:4" ht="15.75">
      <c r="A38" s="547" t="s">
        <v>300</v>
      </c>
      <c r="B38" s="365" t="s">
        <v>478</v>
      </c>
      <c r="C38" s="615">
        <v>2</v>
      </c>
      <c r="D38" s="421">
        <v>2408.15</v>
      </c>
    </row>
    <row r="39" spans="1:4" ht="31.5" thickBot="1">
      <c r="A39" s="887" t="s">
        <v>712</v>
      </c>
      <c r="B39" s="365" t="s">
        <v>478</v>
      </c>
      <c r="C39" s="615">
        <v>11</v>
      </c>
      <c r="D39" s="532">
        <v>6626.7</v>
      </c>
    </row>
    <row r="40" spans="1:4" ht="16.5" thickBot="1">
      <c r="A40" s="862" t="s">
        <v>901</v>
      </c>
      <c r="B40" s="875"/>
      <c r="C40" s="550"/>
      <c r="D40" s="858">
        <v>19795.13</v>
      </c>
    </row>
    <row r="41" spans="1:4" ht="15.75">
      <c r="A41" s="876" t="s">
        <v>706</v>
      </c>
      <c r="B41" s="570"/>
      <c r="C41" s="652"/>
      <c r="D41" s="598"/>
    </row>
    <row r="42" spans="1:4" ht="15.75">
      <c r="A42" s="554" t="s">
        <v>711</v>
      </c>
      <c r="B42" s="365" t="s">
        <v>40</v>
      </c>
      <c r="C42" s="615">
        <v>1</v>
      </c>
      <c r="D42" s="421">
        <v>7147</v>
      </c>
    </row>
    <row r="43" spans="1:4" ht="15.75">
      <c r="A43" s="547" t="s">
        <v>183</v>
      </c>
      <c r="B43" s="365" t="s">
        <v>478</v>
      </c>
      <c r="C43" s="615">
        <v>1</v>
      </c>
      <c r="D43" s="421">
        <v>784.74</v>
      </c>
    </row>
    <row r="44" spans="1:4" ht="16.5" thickBot="1">
      <c r="A44" s="833" t="s">
        <v>710</v>
      </c>
      <c r="B44" s="758"/>
      <c r="C44" s="616">
        <v>2</v>
      </c>
      <c r="D44" s="541">
        <v>26603</v>
      </c>
    </row>
    <row r="45" spans="1:4" ht="16.5" thickBot="1">
      <c r="A45" s="862" t="s">
        <v>901</v>
      </c>
      <c r="B45" s="875"/>
      <c r="C45" s="550"/>
      <c r="D45" s="858">
        <v>34534.74</v>
      </c>
    </row>
    <row r="46" spans="1:4" ht="15.75">
      <c r="A46" s="876" t="s">
        <v>707</v>
      </c>
      <c r="B46" s="570"/>
      <c r="C46" s="652"/>
      <c r="D46" s="835"/>
    </row>
    <row r="47" spans="1:4" ht="30.75">
      <c r="A47" s="888" t="s">
        <v>715</v>
      </c>
      <c r="B47" s="758"/>
      <c r="C47" s="616">
        <v>3</v>
      </c>
      <c r="D47" s="439">
        <v>5147.65</v>
      </c>
    </row>
    <row r="48" spans="1:4" ht="30" thickBot="1">
      <c r="A48" s="889" t="s">
        <v>714</v>
      </c>
      <c r="B48" s="365"/>
      <c r="C48" s="439">
        <v>3</v>
      </c>
      <c r="D48" s="881">
        <v>1415.74</v>
      </c>
    </row>
    <row r="49" spans="1:4" ht="15.75" thickBot="1">
      <c r="A49" s="806" t="s">
        <v>901</v>
      </c>
      <c r="B49" s="666"/>
      <c r="C49" s="1080"/>
      <c r="D49" s="892">
        <v>6563.39</v>
      </c>
    </row>
    <row r="50" spans="1:4" ht="15">
      <c r="A50" s="890" t="s">
        <v>708</v>
      </c>
      <c r="B50" s="365"/>
      <c r="C50" s="441"/>
      <c r="D50" s="959"/>
    </row>
    <row r="51" spans="1:4" ht="15">
      <c r="A51" s="387" t="s">
        <v>713</v>
      </c>
      <c r="B51" s="365"/>
      <c r="C51" s="421"/>
      <c r="D51" s="426">
        <v>782.04</v>
      </c>
    </row>
    <row r="52" spans="1:4" ht="15.75" thickBot="1">
      <c r="A52" s="880"/>
      <c r="B52" s="758"/>
      <c r="C52" s="439"/>
      <c r="D52" s="881"/>
    </row>
    <row r="53" spans="1:4" ht="15.75" thickBot="1">
      <c r="A53" s="806" t="s">
        <v>901</v>
      </c>
      <c r="B53" s="811"/>
      <c r="C53" s="803"/>
      <c r="D53" s="892">
        <v>782.04</v>
      </c>
    </row>
    <row r="54" spans="1:4" ht="15">
      <c r="A54" s="513" t="s">
        <v>709</v>
      </c>
      <c r="B54" s="763"/>
      <c r="C54" s="652"/>
      <c r="D54" s="877"/>
    </row>
    <row r="55" spans="1:4" ht="15">
      <c r="A55" s="548" t="s">
        <v>886</v>
      </c>
      <c r="B55" s="365" t="s">
        <v>40</v>
      </c>
      <c r="C55" s="615">
        <v>3</v>
      </c>
      <c r="D55" s="532">
        <v>1291.73</v>
      </c>
    </row>
    <row r="56" spans="1:4" ht="15.75" thickBot="1">
      <c r="A56" s="526" t="s">
        <v>692</v>
      </c>
      <c r="B56" s="758" t="s">
        <v>40</v>
      </c>
      <c r="C56" s="882">
        <v>5</v>
      </c>
      <c r="D56" s="541">
        <v>3159.74</v>
      </c>
    </row>
    <row r="57" spans="1:4" ht="15.75" thickBot="1">
      <c r="A57" s="884" t="s">
        <v>901</v>
      </c>
      <c r="B57" s="825"/>
      <c r="C57" s="885"/>
      <c r="D57" s="533">
        <v>4451.47</v>
      </c>
    </row>
    <row r="58" spans="1:4" ht="15.75" thickBot="1">
      <c r="A58" s="884" t="s">
        <v>731</v>
      </c>
      <c r="B58" s="860"/>
      <c r="C58" s="886"/>
      <c r="D58" s="893">
        <v>343352.22</v>
      </c>
    </row>
    <row r="59" spans="1:4" ht="15.75" thickBot="1">
      <c r="A59" s="837" t="s">
        <v>903</v>
      </c>
      <c r="B59" s="621"/>
      <c r="C59" s="886"/>
      <c r="D59" s="893">
        <v>33086.27</v>
      </c>
    </row>
    <row r="60" spans="1:4" ht="15.75" thickBot="1">
      <c r="A60" s="837" t="s">
        <v>703</v>
      </c>
      <c r="B60" s="825"/>
      <c r="C60" s="885"/>
      <c r="D60" s="533">
        <v>17084.06</v>
      </c>
    </row>
    <row r="61" spans="1:4" ht="15.75" thickBot="1">
      <c r="A61" s="837" t="s">
        <v>917</v>
      </c>
      <c r="B61" s="825"/>
      <c r="C61" s="885"/>
      <c r="D61" s="533">
        <v>171025.94</v>
      </c>
    </row>
    <row r="62" spans="1:4" ht="15.75" thickBot="1">
      <c r="A62" s="837"/>
      <c r="B62" s="825"/>
      <c r="C62" s="885"/>
      <c r="D62" s="815"/>
    </row>
    <row r="63" spans="1:4" ht="15.75" thickBot="1">
      <c r="A63" s="806" t="s">
        <v>36</v>
      </c>
      <c r="B63" s="825"/>
      <c r="C63" s="868"/>
      <c r="D63" s="533">
        <v>926037.35</v>
      </c>
    </row>
    <row r="64" spans="1:4" ht="15">
      <c r="A64" s="196"/>
      <c r="B64" s="196"/>
      <c r="C64" s="196"/>
      <c r="D64" s="197"/>
    </row>
    <row r="65" spans="1:4" ht="12.75">
      <c r="A65" s="1353"/>
      <c r="B65" s="1354"/>
      <c r="C65" s="374"/>
      <c r="D65" s="442"/>
    </row>
    <row r="66" spans="1:4" ht="12.75">
      <c r="A66" s="1355"/>
      <c r="B66" s="1356"/>
      <c r="C66" s="559"/>
      <c r="D66" s="559"/>
    </row>
    <row r="67" spans="1:8" ht="15">
      <c r="A67" s="1251" t="s">
        <v>568</v>
      </c>
      <c r="B67" s="1257"/>
      <c r="C67" s="467"/>
      <c r="D67" s="467">
        <v>0</v>
      </c>
      <c r="H67" s="8"/>
    </row>
    <row r="68" spans="1:4" ht="15">
      <c r="A68" s="1332" t="s">
        <v>569</v>
      </c>
      <c r="B68" s="1332"/>
      <c r="C68" s="628"/>
      <c r="D68" s="608">
        <v>927110.76</v>
      </c>
    </row>
    <row r="69" spans="1:4" ht="15">
      <c r="A69" s="1332" t="s">
        <v>570</v>
      </c>
      <c r="B69" s="1332"/>
      <c r="C69" s="607"/>
      <c r="D69" s="608">
        <v>926037.35</v>
      </c>
    </row>
    <row r="70" spans="1:4" ht="15">
      <c r="A70" s="1333" t="s">
        <v>571</v>
      </c>
      <c r="B70" s="1333"/>
      <c r="C70" s="629"/>
      <c r="D70" s="629">
        <v>-1073.41</v>
      </c>
    </row>
    <row r="71" spans="1:4" ht="15">
      <c r="A71" s="1332" t="s">
        <v>179</v>
      </c>
      <c r="B71" s="1332"/>
      <c r="C71" s="1258"/>
      <c r="D71" s="630">
        <v>-1073.41</v>
      </c>
    </row>
    <row r="75" spans="1:3" ht="12.75">
      <c r="A75" s="1" t="s">
        <v>180</v>
      </c>
      <c r="C75" s="1" t="s">
        <v>573</v>
      </c>
    </row>
    <row r="78" ht="12.75">
      <c r="A78" s="745" t="s">
        <v>357</v>
      </c>
    </row>
    <row r="79" ht="12.75">
      <c r="A79" s="735" t="s">
        <v>906</v>
      </c>
    </row>
    <row r="80" ht="12.75">
      <c r="A80" s="735" t="s">
        <v>358</v>
      </c>
    </row>
  </sheetData>
  <sheetProtection/>
  <mergeCells count="13">
    <mergeCell ref="A71:B71"/>
    <mergeCell ref="A65:B66"/>
    <mergeCell ref="A68:B68"/>
    <mergeCell ref="A69:B69"/>
    <mergeCell ref="A70:B70"/>
    <mergeCell ref="A19:D19"/>
    <mergeCell ref="A20:D20"/>
    <mergeCell ref="A4:B4"/>
    <mergeCell ref="A5:B5"/>
    <mergeCell ref="A6:B6"/>
    <mergeCell ref="A7:B7"/>
    <mergeCell ref="A9:B9"/>
    <mergeCell ref="A11:B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8">
      <selection activeCell="A14" sqref="A14:IV14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1003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customHeight="1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/>
      <c r="D11" s="136"/>
    </row>
    <row r="12" spans="1:4" ht="15.75" thickBot="1">
      <c r="A12" s="1341" t="s">
        <v>646</v>
      </c>
      <c r="B12" s="1342"/>
      <c r="C12" s="137">
        <f>37161.25+50.2</f>
        <v>37211.45</v>
      </c>
      <c r="D12" s="136"/>
    </row>
    <row r="13" spans="1:4" ht="15.75" thickBot="1">
      <c r="A13" s="1341" t="s">
        <v>647</v>
      </c>
      <c r="B13" s="1342"/>
      <c r="C13" s="135">
        <f>30602.31+50.2</f>
        <v>30652.510000000002</v>
      </c>
      <c r="D13" s="136"/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6558.939999999995</v>
      </c>
      <c r="D15" s="136"/>
    </row>
    <row r="16" spans="1:4" ht="15.75" thickBot="1">
      <c r="A16" s="1341" t="s">
        <v>806</v>
      </c>
      <c r="B16" s="1342"/>
      <c r="C16" s="170">
        <f>D22+D26</f>
        <v>121123.32999999999</v>
      </c>
      <c r="D16" s="138"/>
    </row>
    <row r="17" spans="2:3" ht="6.75" customHeight="1">
      <c r="B17" s="83"/>
      <c r="C17" s="81"/>
    </row>
    <row r="18" spans="1:4" ht="18.75">
      <c r="A18" s="1397" t="s">
        <v>650</v>
      </c>
      <c r="B18" s="1397"/>
      <c r="C18" s="1397"/>
      <c r="D18" s="1397"/>
    </row>
    <row r="19" spans="1:4" ht="18.75">
      <c r="A19" s="1397" t="s">
        <v>1009</v>
      </c>
      <c r="B19" s="1397"/>
      <c r="C19" s="1397"/>
      <c r="D19" s="1397"/>
    </row>
    <row r="20" spans="1:4" ht="6" customHeight="1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</f>
        <v>65040.43</v>
      </c>
    </row>
    <row r="23" spans="1:4" ht="27" thickBot="1">
      <c r="A23" s="166" t="s">
        <v>662</v>
      </c>
      <c r="B23" s="64" t="s">
        <v>652</v>
      </c>
      <c r="C23" s="45"/>
      <c r="D23" s="208">
        <v>58558.8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208">
        <v>5498.99</v>
      </c>
    </row>
    <row r="25" spans="1:4" ht="15.75" thickBot="1">
      <c r="A25" s="147" t="s">
        <v>685</v>
      </c>
      <c r="B25" s="184" t="s">
        <v>817</v>
      </c>
      <c r="C25" s="45" t="s">
        <v>801</v>
      </c>
      <c r="D25" s="209">
        <v>982.64</v>
      </c>
    </row>
    <row r="26" spans="1:4" ht="15">
      <c r="A26" s="148" t="s">
        <v>760</v>
      </c>
      <c r="B26" s="149"/>
      <c r="C26" s="139"/>
      <c r="D26" s="194">
        <f>D27+D29+D30+D31+D32+D34</f>
        <v>56082.899999999994</v>
      </c>
    </row>
    <row r="27" spans="1:4" ht="14.25">
      <c r="A27" s="188" t="s">
        <v>928</v>
      </c>
      <c r="B27" s="74" t="s">
        <v>661</v>
      </c>
      <c r="C27" s="153"/>
      <c r="D27" s="177">
        <v>30746.69</v>
      </c>
    </row>
    <row r="28" spans="1:4" ht="14.25">
      <c r="A28" s="151" t="s">
        <v>676</v>
      </c>
      <c r="B28" s="116"/>
      <c r="C28" s="153"/>
      <c r="D28" s="177"/>
    </row>
    <row r="29" spans="1:4" ht="14.25">
      <c r="A29" s="157" t="s">
        <v>815</v>
      </c>
      <c r="B29" s="74" t="s">
        <v>661</v>
      </c>
      <c r="C29" s="153"/>
      <c r="D29" s="178">
        <v>6001.47</v>
      </c>
    </row>
    <row r="30" spans="1:4" ht="14.25">
      <c r="A30" s="132" t="s">
        <v>883</v>
      </c>
      <c r="B30" s="74" t="s">
        <v>661</v>
      </c>
      <c r="C30" s="153"/>
      <c r="D30" s="179">
        <v>728.06</v>
      </c>
    </row>
    <row r="31" spans="1:4" ht="14.25">
      <c r="A31" s="157" t="s">
        <v>880</v>
      </c>
      <c r="B31" s="74" t="s">
        <v>661</v>
      </c>
      <c r="C31" s="153"/>
      <c r="D31" s="179">
        <v>12494.03</v>
      </c>
    </row>
    <row r="32" spans="1:4" ht="14.25">
      <c r="A32" s="157" t="s">
        <v>925</v>
      </c>
      <c r="B32" s="74" t="s">
        <v>661</v>
      </c>
      <c r="C32" s="153"/>
      <c r="D32" s="180">
        <v>2623.47</v>
      </c>
    </row>
    <row r="33" spans="1:4" ht="15">
      <c r="A33" s="151" t="s">
        <v>682</v>
      </c>
      <c r="B33" s="74"/>
      <c r="C33" s="153"/>
      <c r="D33" s="191"/>
    </row>
    <row r="34" spans="1:4" ht="14.25">
      <c r="A34" s="159" t="s">
        <v>884</v>
      </c>
      <c r="B34" s="74" t="s">
        <v>661</v>
      </c>
      <c r="C34" s="153"/>
      <c r="D34" s="192">
        <v>3489.18</v>
      </c>
    </row>
    <row r="35" spans="1:4" ht="14.25">
      <c r="A35" s="157"/>
      <c r="B35" s="153"/>
      <c r="C35" s="152"/>
      <c r="D35" s="160"/>
    </row>
    <row r="36" spans="1:4" ht="15" hidden="1">
      <c r="A36" s="162" t="s">
        <v>821</v>
      </c>
      <c r="B36" s="163"/>
      <c r="C36" s="164"/>
      <c r="D36" s="165">
        <f>SUM(D27:D35)</f>
        <v>56082.899999999994</v>
      </c>
    </row>
    <row r="37" spans="1:4" ht="15">
      <c r="A37" s="71"/>
      <c r="B37" s="11"/>
      <c r="C37" s="11"/>
      <c r="D37" s="11"/>
    </row>
    <row r="38" spans="1:4" ht="15">
      <c r="A38" s="71"/>
      <c r="B38" s="11"/>
      <c r="C38" s="11"/>
      <c r="D38" s="11"/>
    </row>
    <row r="39" spans="1:4" ht="15">
      <c r="A39" s="71"/>
      <c r="B39" s="11"/>
      <c r="C39" s="11"/>
      <c r="D39" s="11"/>
    </row>
    <row r="40" spans="1:4" ht="15">
      <c r="A40" s="71"/>
      <c r="B40" s="11"/>
      <c r="C40" s="11"/>
      <c r="D40" s="11"/>
    </row>
    <row r="41" spans="1:3" ht="15.75">
      <c r="A41" s="187" t="s">
        <v>921</v>
      </c>
      <c r="B41" s="187"/>
      <c r="C41" s="187" t="s">
        <v>889</v>
      </c>
    </row>
  </sheetData>
  <sheetProtection/>
  <mergeCells count="13">
    <mergeCell ref="A2:B2"/>
    <mergeCell ref="A3:B3"/>
    <mergeCell ref="A4:B4"/>
    <mergeCell ref="A5:B5"/>
    <mergeCell ref="A14:B14"/>
    <mergeCell ref="A7:B7"/>
    <mergeCell ref="A9:B10"/>
    <mergeCell ref="A12:B12"/>
    <mergeCell ref="A13:B13"/>
    <mergeCell ref="A15:B15"/>
    <mergeCell ref="A16:B16"/>
    <mergeCell ref="A18:D18"/>
    <mergeCell ref="A19:D1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99CC"/>
  </sheetPr>
  <dimension ref="A1:G53"/>
  <sheetViews>
    <sheetView zoomScalePageLayoutView="0" workbookViewId="0" topLeftCell="A8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spans="1:4" ht="14.25" hidden="1">
      <c r="A1" s="321" t="s">
        <v>95</v>
      </c>
      <c r="B1" s="320" t="s">
        <v>661</v>
      </c>
      <c r="C1" s="177"/>
      <c r="D1" s="336">
        <v>0</v>
      </c>
    </row>
    <row r="2" spans="1:4" ht="15.75">
      <c r="A2" s="6"/>
      <c r="D2" s="11"/>
    </row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476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18">
        <v>18072.72</v>
      </c>
      <c r="D13" s="1319"/>
    </row>
    <row r="14" spans="1:4" ht="15">
      <c r="A14" s="471" t="s">
        <v>852</v>
      </c>
      <c r="B14" s="473"/>
      <c r="C14" s="1336">
        <v>89187</v>
      </c>
      <c r="D14" s="1337"/>
    </row>
    <row r="15" spans="1:4" ht="15">
      <c r="A15" s="470" t="s">
        <v>647</v>
      </c>
      <c r="B15" s="474"/>
      <c r="C15" s="1338">
        <v>78795.3</v>
      </c>
      <c r="D15" s="1339"/>
    </row>
    <row r="16" spans="1:7" ht="15">
      <c r="A16" s="475" t="s">
        <v>348</v>
      </c>
      <c r="B16" s="476"/>
      <c r="C16" s="1327">
        <f>C13+C14-C15</f>
        <v>28464.42</v>
      </c>
      <c r="D16" s="1328"/>
      <c r="G16" s="111"/>
    </row>
    <row r="17" spans="1:4" ht="14.25">
      <c r="A17" s="470" t="s">
        <v>540</v>
      </c>
      <c r="B17" s="527"/>
      <c r="C17" s="1318">
        <v>62162.56</v>
      </c>
      <c r="D17" s="1319"/>
    </row>
    <row r="18" spans="1:4" ht="12.75">
      <c r="A18" s="82"/>
      <c r="B18" s="83"/>
      <c r="C18" s="83"/>
      <c r="D18" s="83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501" t="s">
        <v>892</v>
      </c>
      <c r="B22" s="502" t="s">
        <v>667</v>
      </c>
      <c r="C22" s="499" t="s">
        <v>673</v>
      </c>
      <c r="D22" s="503" t="s">
        <v>793</v>
      </c>
    </row>
    <row r="23" spans="1:4" ht="15.75">
      <c r="A23" s="1126" t="s">
        <v>913</v>
      </c>
      <c r="B23" s="566"/>
      <c r="C23" s="564"/>
      <c r="D23" s="1127"/>
    </row>
    <row r="24" spans="1:4" ht="15.75">
      <c r="A24" s="1128" t="s">
        <v>434</v>
      </c>
      <c r="B24" s="1091"/>
      <c r="C24" s="1092"/>
      <c r="D24" s="1129">
        <v>4129.04</v>
      </c>
    </row>
    <row r="25" spans="1:4" ht="22.5">
      <c r="A25" s="1130" t="s">
        <v>105</v>
      </c>
      <c r="B25" s="1285" t="s">
        <v>200</v>
      </c>
      <c r="C25" s="671"/>
      <c r="D25" s="1131">
        <v>17858.31</v>
      </c>
    </row>
    <row r="26" spans="1:4" ht="15">
      <c r="A26" s="537" t="s">
        <v>654</v>
      </c>
      <c r="B26" s="405" t="s">
        <v>656</v>
      </c>
      <c r="C26" s="536" t="s">
        <v>801</v>
      </c>
      <c r="D26" s="528">
        <v>10462.88</v>
      </c>
    </row>
    <row r="27" spans="1:4" ht="15.75" thickBot="1">
      <c r="A27" s="390" t="s">
        <v>799</v>
      </c>
      <c r="B27" s="673" t="s">
        <v>661</v>
      </c>
      <c r="C27" s="610"/>
      <c r="D27" s="595">
        <v>11734.32</v>
      </c>
    </row>
    <row r="28" spans="1:4" ht="15.75" thickBot="1">
      <c r="A28" s="1125" t="s">
        <v>701</v>
      </c>
      <c r="B28" s="1124"/>
      <c r="C28" s="1122"/>
      <c r="D28" s="857">
        <v>44184.55</v>
      </c>
    </row>
    <row r="29" spans="1:4" ht="15.75" thickBot="1">
      <c r="A29" s="487" t="s">
        <v>914</v>
      </c>
      <c r="B29" s="461"/>
      <c r="C29" s="462"/>
      <c r="D29" s="463"/>
    </row>
    <row r="30" spans="1:4" ht="24">
      <c r="A30" s="808" t="s">
        <v>194</v>
      </c>
      <c r="B30" s="514" t="s">
        <v>920</v>
      </c>
      <c r="C30" s="515" t="s">
        <v>673</v>
      </c>
      <c r="D30" s="516" t="s">
        <v>793</v>
      </c>
    </row>
    <row r="31" spans="1:4" ht="15.75" thickBot="1">
      <c r="A31" s="799" t="s">
        <v>435</v>
      </c>
      <c r="B31" s="1132"/>
      <c r="C31" s="799"/>
      <c r="D31" s="1064">
        <v>2623.14</v>
      </c>
    </row>
    <row r="32" spans="1:4" ht="15.75" thickBot="1">
      <c r="A32" s="805" t="s">
        <v>1014</v>
      </c>
      <c r="B32" s="1134"/>
      <c r="C32" s="1020"/>
      <c r="D32" s="940">
        <v>2623.14</v>
      </c>
    </row>
    <row r="33" spans="1:4" ht="15.75" thickBot="1">
      <c r="A33" s="540"/>
      <c r="B33" s="1099"/>
      <c r="C33" s="674"/>
      <c r="D33" s="459"/>
    </row>
    <row r="34" spans="1:4" ht="15.75" thickBot="1">
      <c r="A34" s="805" t="s">
        <v>458</v>
      </c>
      <c r="B34" s="1134"/>
      <c r="C34" s="1020"/>
      <c r="D34" s="940">
        <v>2623.14</v>
      </c>
    </row>
    <row r="35" spans="1:4" ht="15">
      <c r="A35" s="537"/>
      <c r="B35" s="1133"/>
      <c r="C35" s="1043"/>
      <c r="D35" s="1044"/>
    </row>
    <row r="36" spans="1:4" ht="15">
      <c r="A36" s="808" t="s">
        <v>453</v>
      </c>
      <c r="B36" s="358"/>
      <c r="C36" s="359"/>
      <c r="D36" s="869">
        <v>3874.33</v>
      </c>
    </row>
    <row r="37" spans="1:4" ht="14.25">
      <c r="A37" s="465" t="s">
        <v>376</v>
      </c>
      <c r="B37" s="362"/>
      <c r="C37" s="359"/>
      <c r="D37" s="428">
        <v>0</v>
      </c>
    </row>
    <row r="38" spans="1:4" ht="15">
      <c r="A38" s="944" t="s">
        <v>775</v>
      </c>
      <c r="B38" s="365"/>
      <c r="C38" s="615"/>
      <c r="D38" s="1039">
        <v>11480.54</v>
      </c>
    </row>
    <row r="39" spans="1:4" ht="15.75" thickBot="1">
      <c r="A39" s="807"/>
      <c r="B39" s="381"/>
      <c r="C39" s="381"/>
      <c r="D39" s="881"/>
    </row>
    <row r="40" spans="1:4" ht="15">
      <c r="A40" s="879" t="s">
        <v>918</v>
      </c>
      <c r="B40" s="1161"/>
      <c r="C40" s="1261"/>
      <c r="D40" s="859">
        <v>62162.56</v>
      </c>
    </row>
    <row r="41" spans="1:4" ht="15">
      <c r="A41" s="838"/>
      <c r="B41" s="358"/>
      <c r="C41" s="359"/>
      <c r="D41" s="428"/>
    </row>
    <row r="42" spans="1:4" ht="15">
      <c r="A42" s="1251" t="s">
        <v>568</v>
      </c>
      <c r="B42" s="1257"/>
      <c r="C42" s="467"/>
      <c r="D42" s="467">
        <v>0</v>
      </c>
    </row>
    <row r="43" spans="1:4" ht="15">
      <c r="A43" s="1332" t="s">
        <v>569</v>
      </c>
      <c r="B43" s="1332"/>
      <c r="C43" s="628"/>
      <c r="D43" s="608">
        <v>78795.3</v>
      </c>
    </row>
    <row r="44" spans="1:4" ht="15">
      <c r="A44" s="1332" t="s">
        <v>570</v>
      </c>
      <c r="B44" s="1332"/>
      <c r="C44" s="607"/>
      <c r="D44" s="608">
        <v>62162.56</v>
      </c>
    </row>
    <row r="45" spans="1:4" ht="15">
      <c r="A45" s="1333" t="s">
        <v>571</v>
      </c>
      <c r="B45" s="1333"/>
      <c r="C45" s="629"/>
      <c r="D45" s="629">
        <v>-16632.74</v>
      </c>
    </row>
    <row r="46" spans="1:4" ht="15">
      <c r="A46" s="1332" t="s">
        <v>179</v>
      </c>
      <c r="B46" s="1332"/>
      <c r="C46" s="1258"/>
      <c r="D46" s="630">
        <v>-16632.74</v>
      </c>
    </row>
    <row r="47" spans="1:4" ht="15">
      <c r="A47" s="538"/>
      <c r="B47" s="538"/>
      <c r="C47" s="1259"/>
      <c r="D47" s="1260"/>
    </row>
    <row r="48" spans="1:4" ht="15">
      <c r="A48" s="538"/>
      <c r="B48" s="538"/>
      <c r="C48" s="1259"/>
      <c r="D48" s="1260"/>
    </row>
    <row r="49" spans="1:4" ht="15">
      <c r="A49" s="538" t="s">
        <v>180</v>
      </c>
      <c r="B49" s="538"/>
      <c r="C49" s="1259" t="s">
        <v>573</v>
      </c>
      <c r="D49" s="1260"/>
    </row>
    <row r="50" spans="1:4" ht="15">
      <c r="A50" s="538"/>
      <c r="B50" s="538"/>
      <c r="C50" s="1259"/>
      <c r="D50" s="1260"/>
    </row>
    <row r="51" ht="12.75">
      <c r="A51" s="735" t="s">
        <v>357</v>
      </c>
    </row>
    <row r="52" ht="12.75">
      <c r="A52" s="735" t="s">
        <v>906</v>
      </c>
    </row>
    <row r="53" ht="12.75">
      <c r="A53" s="735" t="s">
        <v>358</v>
      </c>
    </row>
  </sheetData>
  <sheetProtection/>
  <mergeCells count="18">
    <mergeCell ref="A19:D19"/>
    <mergeCell ref="A20:D20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43:B43"/>
    <mergeCell ref="A44:B44"/>
    <mergeCell ref="A45:B45"/>
    <mergeCell ref="A46:B46"/>
  </mergeCells>
  <printOptions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99CC"/>
  </sheetPr>
  <dimension ref="A1:G74"/>
  <sheetViews>
    <sheetView zoomScalePageLayoutView="0" workbookViewId="0" topLeftCell="A13">
      <selection activeCell="G47" sqref="G47:H4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7" max="7" width="10.28125" style="0" bestFit="1" customWidth="1"/>
  </cols>
  <sheetData>
    <row r="1" spans="1:4" ht="14.25" hidden="1">
      <c r="A1" s="342" t="s">
        <v>122</v>
      </c>
      <c r="B1" s="298" t="s">
        <v>661</v>
      </c>
      <c r="C1" s="299"/>
      <c r="D1" s="339">
        <v>0</v>
      </c>
    </row>
    <row r="2" spans="1:4" ht="14.25" hidden="1">
      <c r="A2" s="307" t="s">
        <v>886</v>
      </c>
      <c r="B2" s="298" t="s">
        <v>40</v>
      </c>
      <c r="C2" s="299">
        <v>3</v>
      </c>
      <c r="D2" s="302">
        <v>0</v>
      </c>
    </row>
    <row r="3" spans="1:4" ht="14.25" hidden="1">
      <c r="A3" s="307" t="s">
        <v>113</v>
      </c>
      <c r="B3" s="298" t="s">
        <v>40</v>
      </c>
      <c r="C3" s="299">
        <v>1</v>
      </c>
      <c r="D3" s="302">
        <v>0</v>
      </c>
    </row>
    <row r="4" spans="1:4" ht="14.25" hidden="1">
      <c r="A4" s="307" t="s">
        <v>998</v>
      </c>
      <c r="B4" s="298" t="s">
        <v>661</v>
      </c>
      <c r="C4" s="299"/>
      <c r="D4" s="302">
        <v>0</v>
      </c>
    </row>
    <row r="5" spans="1:4" ht="14.25" hidden="1">
      <c r="A5" s="341" t="s">
        <v>123</v>
      </c>
      <c r="B5" s="329" t="s">
        <v>661</v>
      </c>
      <c r="C5" s="332"/>
      <c r="D5" s="340" t="e">
        <f>4.66*#REF!*12*0</f>
        <v>#REF!</v>
      </c>
    </row>
    <row r="6" spans="1:4" ht="14.25" hidden="1">
      <c r="A6" s="341" t="s">
        <v>124</v>
      </c>
      <c r="B6" s="329"/>
      <c r="C6" s="332"/>
      <c r="D6" s="340"/>
    </row>
    <row r="7" spans="1:4" ht="14.25" hidden="1">
      <c r="A7" s="341" t="s">
        <v>125</v>
      </c>
      <c r="B7" s="329"/>
      <c r="C7" s="332"/>
      <c r="D7" s="340"/>
    </row>
    <row r="8" spans="1:4" ht="14.25" hidden="1">
      <c r="A8" s="157"/>
      <c r="B8" s="153"/>
      <c r="C8" s="152"/>
      <c r="D8" s="157"/>
    </row>
    <row r="9" spans="1:4" ht="15" hidden="1">
      <c r="A9" s="162" t="s">
        <v>821</v>
      </c>
      <c r="B9" s="163"/>
      <c r="C9" s="164"/>
      <c r="D9" s="343" t="e">
        <f>SUM(D1:D8)</f>
        <v>#REF!</v>
      </c>
    </row>
    <row r="12" ht="12.75">
      <c r="D12" s="1" t="s">
        <v>792</v>
      </c>
    </row>
    <row r="13" spans="1:4" ht="22.5">
      <c r="A13" s="1331" t="s">
        <v>687</v>
      </c>
      <c r="B13" s="1331"/>
      <c r="C13" s="140"/>
      <c r="D13" s="140"/>
    </row>
    <row r="14" spans="1:4" ht="15.75">
      <c r="A14" s="1363" t="s">
        <v>497</v>
      </c>
      <c r="B14" s="1363"/>
      <c r="C14" s="91"/>
      <c r="D14" s="91"/>
    </row>
    <row r="15" spans="1:4" ht="15.75">
      <c r="A15" s="1363" t="s">
        <v>641</v>
      </c>
      <c r="B15" s="1363"/>
      <c r="C15" s="91"/>
      <c r="D15" s="91"/>
    </row>
    <row r="16" spans="1:4" ht="15.75">
      <c r="A16" s="1363" t="s">
        <v>804</v>
      </c>
      <c r="B16" s="1363"/>
      <c r="C16" s="91"/>
      <c r="D16" s="91"/>
    </row>
    <row r="17" spans="1:3" ht="12" customHeight="1">
      <c r="A17" s="26"/>
      <c r="B17" s="26"/>
      <c r="C17"/>
    </row>
    <row r="18" spans="1:4" ht="15">
      <c r="A18" s="1343" t="s">
        <v>493</v>
      </c>
      <c r="B18" s="1343"/>
      <c r="C18" s="139"/>
      <c r="D18" s="139"/>
    </row>
    <row r="19" spans="1:4" ht="12.75" customHeight="1">
      <c r="A19" s="324"/>
      <c r="B19" s="324"/>
      <c r="C19" s="139"/>
      <c r="D19" s="139"/>
    </row>
    <row r="20" spans="1:4" ht="12.75">
      <c r="A20" s="1366" t="s">
        <v>642</v>
      </c>
      <c r="B20" s="1367"/>
      <c r="C20" s="1366" t="s">
        <v>488</v>
      </c>
      <c r="D20" s="1367"/>
    </row>
    <row r="21" spans="1:4" ht="12.75">
      <c r="A21" s="1368"/>
      <c r="B21" s="1369"/>
      <c r="C21" s="1368"/>
      <c r="D21" s="1369"/>
    </row>
    <row r="22" spans="1:4" ht="15">
      <c r="A22" s="372" t="s">
        <v>347</v>
      </c>
      <c r="B22" s="472"/>
      <c r="C22" s="1318">
        <v>35777.45</v>
      </c>
      <c r="D22" s="1319"/>
    </row>
    <row r="23" spans="1:4" ht="15">
      <c r="A23" s="471" t="s">
        <v>854</v>
      </c>
      <c r="B23" s="473"/>
      <c r="C23" s="1336">
        <v>98736</v>
      </c>
      <c r="D23" s="1337"/>
    </row>
    <row r="24" spans="1:4" ht="15">
      <c r="A24" s="470" t="s">
        <v>647</v>
      </c>
      <c r="B24" s="474"/>
      <c r="C24" s="1338">
        <v>72554.26</v>
      </c>
      <c r="D24" s="1339"/>
    </row>
    <row r="25" spans="1:7" ht="15">
      <c r="A25" s="475" t="s">
        <v>348</v>
      </c>
      <c r="B25" s="476"/>
      <c r="C25" s="1327">
        <v>61959</v>
      </c>
      <c r="D25" s="1328"/>
      <c r="G25" s="111"/>
    </row>
    <row r="26" spans="1:7" ht="14.25">
      <c r="A26" s="470" t="s">
        <v>540</v>
      </c>
      <c r="B26" s="527"/>
      <c r="C26" s="1318">
        <v>80105.83</v>
      </c>
      <c r="D26" s="1319"/>
      <c r="G26" s="529"/>
    </row>
    <row r="27" spans="1:4" ht="15.75">
      <c r="A27" s="1340" t="s">
        <v>650</v>
      </c>
      <c r="B27" s="1340"/>
      <c r="C27" s="1340"/>
      <c r="D27" s="1340"/>
    </row>
    <row r="28" spans="1:4" ht="15.75">
      <c r="A28" s="1340" t="s">
        <v>346</v>
      </c>
      <c r="B28" s="1340"/>
      <c r="C28" s="1340"/>
      <c r="D28" s="1340"/>
    </row>
    <row r="29" spans="1:4" ht="12.75">
      <c r="A29" s="82"/>
      <c r="B29" s="82"/>
      <c r="C29" s="103"/>
      <c r="D29" s="82"/>
    </row>
    <row r="30" spans="1:4" ht="26.25" thickBot="1">
      <c r="A30" s="501" t="s">
        <v>892</v>
      </c>
      <c r="B30" s="502" t="s">
        <v>667</v>
      </c>
      <c r="C30" s="499" t="s">
        <v>673</v>
      </c>
      <c r="D30" s="503" t="s">
        <v>793</v>
      </c>
    </row>
    <row r="31" spans="1:4" ht="15.75">
      <c r="A31" s="1126" t="s">
        <v>913</v>
      </c>
      <c r="B31" s="566"/>
      <c r="C31" s="564"/>
      <c r="D31" s="567"/>
    </row>
    <row r="32" spans="1:4" ht="15.75">
      <c r="A32" s="1128" t="s">
        <v>439</v>
      </c>
      <c r="B32" s="1091"/>
      <c r="C32" s="1092"/>
      <c r="D32" s="1093">
        <v>17858.31</v>
      </c>
    </row>
    <row r="33" spans="1:4" ht="15.75">
      <c r="A33" s="1128" t="s">
        <v>210</v>
      </c>
      <c r="B33" s="1091"/>
      <c r="C33" s="1092"/>
      <c r="D33" s="1093">
        <v>929.04</v>
      </c>
    </row>
    <row r="34" spans="1:4" ht="16.5" customHeight="1">
      <c r="A34" s="537" t="s">
        <v>654</v>
      </c>
      <c r="B34" s="405" t="s">
        <v>656</v>
      </c>
      <c r="C34" s="405" t="s">
        <v>801</v>
      </c>
      <c r="D34" s="528">
        <v>10462.88</v>
      </c>
    </row>
    <row r="35" spans="1:4" ht="15.75" thickBot="1">
      <c r="A35" s="390" t="s">
        <v>438</v>
      </c>
      <c r="B35" s="401" t="s">
        <v>817</v>
      </c>
      <c r="C35" s="398" t="s">
        <v>801</v>
      </c>
      <c r="D35" s="512">
        <v>26268.32</v>
      </c>
    </row>
    <row r="36" spans="1:4" ht="15.75" thickBot="1">
      <c r="A36" s="487" t="s">
        <v>914</v>
      </c>
      <c r="B36" s="1135"/>
      <c r="C36" s="1136"/>
      <c r="D36" s="533">
        <v>55518.55</v>
      </c>
    </row>
    <row r="37" spans="1:4" ht="24">
      <c r="A37" s="808" t="s">
        <v>436</v>
      </c>
      <c r="B37" s="514" t="s">
        <v>920</v>
      </c>
      <c r="C37" s="515" t="s">
        <v>673</v>
      </c>
      <c r="D37" s="516" t="s">
        <v>793</v>
      </c>
    </row>
    <row r="38" spans="1:4" ht="15.75" thickBot="1">
      <c r="A38" s="799" t="s">
        <v>11</v>
      </c>
      <c r="B38" s="758"/>
      <c r="C38" s="439"/>
      <c r="D38" s="1064">
        <v>1709.78</v>
      </c>
    </row>
    <row r="39" spans="1:4" ht="15.75" thickBot="1">
      <c r="A39" s="806" t="s">
        <v>701</v>
      </c>
      <c r="B39" s="811"/>
      <c r="C39" s="803"/>
      <c r="D39" s="1138">
        <v>1709.78</v>
      </c>
    </row>
    <row r="40" spans="1:4" ht="15">
      <c r="A40" s="808" t="s">
        <v>457</v>
      </c>
      <c r="B40" s="756"/>
      <c r="C40" s="359"/>
      <c r="D40" s="421"/>
    </row>
    <row r="41" spans="1:4" ht="15">
      <c r="A41" s="359" t="s">
        <v>393</v>
      </c>
      <c r="B41" s="1137"/>
      <c r="C41" s="807">
        <v>1</v>
      </c>
      <c r="D41" s="424">
        <v>641.42</v>
      </c>
    </row>
    <row r="42" spans="1:4" ht="16.5" thickBot="1">
      <c r="A42" s="833" t="s">
        <v>324</v>
      </c>
      <c r="B42" s="758" t="s">
        <v>211</v>
      </c>
      <c r="C42" s="809">
        <v>2</v>
      </c>
      <c r="D42" s="424">
        <v>2404.44</v>
      </c>
    </row>
    <row r="43" spans="1:4" ht="16.5" thickBot="1">
      <c r="A43" s="829" t="s">
        <v>701</v>
      </c>
      <c r="B43" s="811"/>
      <c r="C43" s="812"/>
      <c r="D43" s="841">
        <v>3045.86</v>
      </c>
    </row>
    <row r="44" spans="1:4" ht="15">
      <c r="A44" s="938" t="s">
        <v>777</v>
      </c>
      <c r="B44" s="834"/>
      <c r="C44" s="836"/>
      <c r="D44" s="896"/>
    </row>
    <row r="45" spans="1:4" ht="15.75" thickBot="1">
      <c r="A45" s="807" t="s">
        <v>440</v>
      </c>
      <c r="B45" s="758"/>
      <c r="C45" s="439">
        <v>1</v>
      </c>
      <c r="D45" s="439">
        <v>1162.9</v>
      </c>
    </row>
    <row r="46" spans="1:4" ht="15.75" thickBot="1">
      <c r="A46" s="806" t="s">
        <v>701</v>
      </c>
      <c r="B46" s="811"/>
      <c r="C46" s="803"/>
      <c r="D46" s="863">
        <v>1162.9</v>
      </c>
    </row>
    <row r="47" spans="1:4" ht="15">
      <c r="A47" s="808"/>
      <c r="B47" s="570"/>
      <c r="C47" s="441"/>
      <c r="D47" s="441"/>
    </row>
    <row r="48" spans="1:4" ht="15.75" thickBot="1">
      <c r="A48" s="1139" t="s">
        <v>375</v>
      </c>
      <c r="B48" s="910"/>
      <c r="C48" s="1140"/>
      <c r="D48" s="1141">
        <v>5918.54</v>
      </c>
    </row>
    <row r="49" spans="1:4" ht="15">
      <c r="A49" s="377"/>
      <c r="B49" s="570"/>
      <c r="C49" s="441"/>
      <c r="D49" s="896"/>
    </row>
    <row r="50" spans="1:4" ht="15">
      <c r="A50" s="944" t="s">
        <v>453</v>
      </c>
      <c r="B50" s="365"/>
      <c r="C50" s="421"/>
      <c r="D50" s="1089">
        <v>3874.33</v>
      </c>
    </row>
    <row r="51" spans="1:4" ht="15">
      <c r="A51" s="944" t="s">
        <v>437</v>
      </c>
      <c r="B51" s="365"/>
      <c r="C51" s="615"/>
      <c r="D51" s="1039">
        <v>0</v>
      </c>
    </row>
    <row r="52" spans="1:4" ht="15.75" thickBot="1">
      <c r="A52" s="1083" t="s">
        <v>775</v>
      </c>
      <c r="B52" s="746"/>
      <c r="C52" s="400"/>
      <c r="D52" s="1084">
        <v>14794.41</v>
      </c>
    </row>
    <row r="53" spans="1:4" ht="15">
      <c r="A53" s="879" t="s">
        <v>36</v>
      </c>
      <c r="B53" s="1161"/>
      <c r="C53" s="1261"/>
      <c r="D53" s="859">
        <v>80105.83</v>
      </c>
    </row>
    <row r="54" spans="1:4" ht="15">
      <c r="A54" s="838"/>
      <c r="B54" s="358"/>
      <c r="C54" s="359"/>
      <c r="D54" s="428"/>
    </row>
    <row r="55" spans="1:4" ht="15">
      <c r="A55" s="838"/>
      <c r="B55" s="358"/>
      <c r="C55" s="359"/>
      <c r="D55" s="428"/>
    </row>
    <row r="56" spans="1:4" ht="14.25">
      <c r="A56" s="1286"/>
      <c r="B56" s="319"/>
      <c r="C56" s="1286"/>
      <c r="D56" s="1287"/>
    </row>
    <row r="57" spans="1:4" ht="14.25">
      <c r="A57" s="1286"/>
      <c r="B57" s="319"/>
      <c r="C57" s="1286"/>
      <c r="D57" s="1287"/>
    </row>
    <row r="58" spans="1:4" ht="14.25">
      <c r="A58" s="764"/>
      <c r="B58" s="358"/>
      <c r="C58" s="359"/>
      <c r="D58" s="1262"/>
    </row>
    <row r="59" spans="1:4" ht="15">
      <c r="A59" s="1251" t="s">
        <v>568</v>
      </c>
      <c r="B59" s="1257"/>
      <c r="C59" s="467"/>
      <c r="D59" s="467">
        <v>0</v>
      </c>
    </row>
    <row r="60" spans="1:4" ht="15">
      <c r="A60" s="1332" t="s">
        <v>569</v>
      </c>
      <c r="B60" s="1332"/>
      <c r="C60" s="628"/>
      <c r="D60" s="608">
        <v>72554.26</v>
      </c>
    </row>
    <row r="61" spans="1:4" ht="15">
      <c r="A61" s="1332" t="s">
        <v>570</v>
      </c>
      <c r="B61" s="1332"/>
      <c r="C61" s="607"/>
      <c r="D61" s="608">
        <v>80105.83</v>
      </c>
    </row>
    <row r="62" spans="1:4" ht="15">
      <c r="A62" s="1333" t="s">
        <v>571</v>
      </c>
      <c r="B62" s="1333"/>
      <c r="C62" s="629"/>
      <c r="D62" s="629">
        <v>7551.57</v>
      </c>
    </row>
    <row r="63" spans="1:4" ht="15">
      <c r="A63" s="1332" t="s">
        <v>179</v>
      </c>
      <c r="B63" s="1332"/>
      <c r="C63" s="1258"/>
      <c r="D63" s="630">
        <v>7551.57</v>
      </c>
    </row>
    <row r="64" spans="1:4" ht="15">
      <c r="A64" s="538"/>
      <c r="B64" s="538"/>
      <c r="C64" s="1259"/>
      <c r="D64" s="1260"/>
    </row>
    <row r="65" spans="1:4" ht="15">
      <c r="A65" s="538"/>
      <c r="B65" s="538"/>
      <c r="C65" s="1259"/>
      <c r="D65" s="1260"/>
    </row>
    <row r="66" spans="1:4" ht="15">
      <c r="A66" s="538"/>
      <c r="B66" s="538"/>
      <c r="C66" s="1259"/>
      <c r="D66" s="1260"/>
    </row>
    <row r="67" spans="1:4" ht="15">
      <c r="A67" s="538" t="s">
        <v>180</v>
      </c>
      <c r="B67" s="538"/>
      <c r="C67" s="1259" t="s">
        <v>573</v>
      </c>
      <c r="D67" s="1260"/>
    </row>
    <row r="68" spans="1:4" ht="15">
      <c r="A68" s="538"/>
      <c r="B68" s="538"/>
      <c r="C68" s="1259"/>
      <c r="D68" s="1260"/>
    </row>
    <row r="69" ht="12.75">
      <c r="A69" s="735" t="s">
        <v>357</v>
      </c>
    </row>
    <row r="70" ht="12.75">
      <c r="A70" s="735" t="s">
        <v>906</v>
      </c>
    </row>
    <row r="71" ht="12.75">
      <c r="A71" s="735" t="s">
        <v>358</v>
      </c>
    </row>
    <row r="72" ht="12.75">
      <c r="A72" s="690"/>
    </row>
    <row r="73" ht="12.75">
      <c r="A73" s="690"/>
    </row>
    <row r="74" ht="12.75">
      <c r="A74" s="690"/>
    </row>
  </sheetData>
  <sheetProtection/>
  <mergeCells count="18">
    <mergeCell ref="A28:D28"/>
    <mergeCell ref="A27:D27"/>
    <mergeCell ref="A16:B16"/>
    <mergeCell ref="A18:B18"/>
    <mergeCell ref="A20:B21"/>
    <mergeCell ref="C20:D21"/>
    <mergeCell ref="C26:D26"/>
    <mergeCell ref="C22:D22"/>
    <mergeCell ref="C23:D23"/>
    <mergeCell ref="C24:D24"/>
    <mergeCell ref="C25:D25"/>
    <mergeCell ref="A13:B13"/>
    <mergeCell ref="A14:B14"/>
    <mergeCell ref="A15:B15"/>
    <mergeCell ref="A60:B60"/>
    <mergeCell ref="A61:B61"/>
    <mergeCell ref="A62:B62"/>
    <mergeCell ref="A63:B6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4">
      <selection activeCell="A14" sqref="A14:IV14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1004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v>10210.86</v>
      </c>
      <c r="D11" s="136">
        <v>1969.55</v>
      </c>
    </row>
    <row r="12" spans="1:4" ht="15.75" thickBot="1">
      <c r="A12" s="1341" t="s">
        <v>646</v>
      </c>
      <c r="B12" s="1342"/>
      <c r="C12" s="137">
        <v>59447.1</v>
      </c>
      <c r="D12" s="136">
        <v>-1921.04</v>
      </c>
    </row>
    <row r="13" spans="1:4" ht="15.75" thickBot="1">
      <c r="A13" s="1341" t="s">
        <v>647</v>
      </c>
      <c r="B13" s="1342"/>
      <c r="C13" s="135">
        <v>45138.81</v>
      </c>
      <c r="D13" s="136"/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24519.149999999994</v>
      </c>
      <c r="D15" s="135">
        <f>D11+D12-D13</f>
        <v>48.50999999999999</v>
      </c>
    </row>
    <row r="16" spans="1:4" ht="15.75" thickBot="1">
      <c r="A16" s="1341" t="s">
        <v>806</v>
      </c>
      <c r="B16" s="1342"/>
      <c r="C16" s="170">
        <f>D22+D34</f>
        <v>44230.799999999996</v>
      </c>
      <c r="D16" s="138"/>
    </row>
    <row r="17" spans="2:3" ht="12.75">
      <c r="B17" s="83"/>
      <c r="C17" s="81"/>
    </row>
    <row r="18" spans="1:4" ht="18.75">
      <c r="A18" s="1397" t="s">
        <v>650</v>
      </c>
      <c r="B18" s="1397"/>
      <c r="C18" s="1397"/>
      <c r="D18" s="1397"/>
    </row>
    <row r="19" spans="1:4" ht="18.75">
      <c r="A19" s="1397" t="s">
        <v>1009</v>
      </c>
      <c r="B19" s="1397"/>
      <c r="C19" s="1397"/>
      <c r="D19" s="1397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</f>
        <v>33983.829999999994</v>
      </c>
    </row>
    <row r="23" spans="1:4" ht="27" thickBot="1">
      <c r="A23" s="224" t="s">
        <v>662</v>
      </c>
      <c r="B23" s="64" t="s">
        <v>652</v>
      </c>
      <c r="C23" s="45"/>
      <c r="D23" s="208">
        <v>23813.67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208">
        <v>8628.32</v>
      </c>
    </row>
    <row r="25" spans="1:4" ht="15.75" thickBot="1">
      <c r="A25" s="147" t="s">
        <v>685</v>
      </c>
      <c r="B25" s="184" t="s">
        <v>817</v>
      </c>
      <c r="C25" s="45" t="s">
        <v>801</v>
      </c>
      <c r="D25" s="209">
        <v>1541.84</v>
      </c>
    </row>
    <row r="26" spans="1:4" ht="15">
      <c r="A26" s="221" t="s">
        <v>760</v>
      </c>
      <c r="B26" s="222"/>
      <c r="C26" s="217"/>
      <c r="D26" s="225">
        <f>D34</f>
        <v>10246.970000000001</v>
      </c>
    </row>
    <row r="27" spans="1:4" ht="14.25">
      <c r="A27" s="153" t="s">
        <v>928</v>
      </c>
      <c r="B27" s="74" t="s">
        <v>661</v>
      </c>
      <c r="C27" s="153"/>
      <c r="D27" s="177">
        <v>2518.63</v>
      </c>
    </row>
    <row r="28" spans="1:4" ht="15">
      <c r="A28" s="219"/>
      <c r="B28" s="154"/>
      <c r="C28" s="153"/>
      <c r="D28" s="220"/>
    </row>
    <row r="29" spans="1:4" ht="15">
      <c r="A29" s="219"/>
      <c r="B29" s="154"/>
      <c r="C29" s="153"/>
      <c r="D29" s="220"/>
    </row>
    <row r="30" spans="1:4" ht="14.25">
      <c r="A30" s="151" t="s">
        <v>676</v>
      </c>
      <c r="B30" s="216"/>
      <c r="C30" s="217"/>
      <c r="D30" s="218"/>
    </row>
    <row r="31" spans="1:4" ht="14.25">
      <c r="A31" s="132" t="s">
        <v>883</v>
      </c>
      <c r="B31" s="74" t="s">
        <v>661</v>
      </c>
      <c r="C31" s="217"/>
      <c r="D31" s="179">
        <v>5141.63</v>
      </c>
    </row>
    <row r="32" spans="1:4" ht="14.25">
      <c r="A32" s="159" t="s">
        <v>884</v>
      </c>
      <c r="B32" s="74" t="s">
        <v>661</v>
      </c>
      <c r="C32" s="153"/>
      <c r="D32" s="179">
        <v>2586.71</v>
      </c>
    </row>
    <row r="33" spans="1:4" ht="14.25">
      <c r="A33" s="157"/>
      <c r="B33" s="153"/>
      <c r="C33" s="152"/>
      <c r="D33" s="160"/>
    </row>
    <row r="34" spans="1:4" ht="15" hidden="1">
      <c r="A34" s="162" t="s">
        <v>821</v>
      </c>
      <c r="B34" s="163"/>
      <c r="C34" s="164"/>
      <c r="D34" s="165">
        <f>SUM(D27:D33)</f>
        <v>10246.970000000001</v>
      </c>
    </row>
    <row r="35" spans="1:4" ht="15">
      <c r="A35" s="71"/>
      <c r="B35" s="11"/>
      <c r="C35" s="11"/>
      <c r="D35" s="11"/>
    </row>
    <row r="36" spans="1:4" ht="15">
      <c r="A36" s="71"/>
      <c r="B36" s="11"/>
      <c r="C36" s="11"/>
      <c r="D36" s="11"/>
    </row>
    <row r="37" spans="1:4" ht="15">
      <c r="A37" s="71"/>
      <c r="B37" s="11"/>
      <c r="C37" s="11"/>
      <c r="D37" s="11"/>
    </row>
    <row r="38" spans="1:4" ht="15">
      <c r="A38" s="71"/>
      <c r="B38" s="11"/>
      <c r="C38" s="11"/>
      <c r="D38" s="11"/>
    </row>
    <row r="39" spans="1:3" ht="15.75">
      <c r="A39" s="187" t="s">
        <v>921</v>
      </c>
      <c r="B39" s="187"/>
      <c r="C39" s="187" t="s">
        <v>889</v>
      </c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6" ht="15.75">
      <c r="A46" s="7"/>
    </row>
  </sheetData>
  <sheetProtection/>
  <mergeCells count="13">
    <mergeCell ref="A7:B7"/>
    <mergeCell ref="A9:B10"/>
    <mergeCell ref="A19:D19"/>
    <mergeCell ref="A12:B12"/>
    <mergeCell ref="A13:B13"/>
    <mergeCell ref="A14:B14"/>
    <mergeCell ref="A15:B15"/>
    <mergeCell ref="A16:B16"/>
    <mergeCell ref="A18:D18"/>
    <mergeCell ref="A2:B2"/>
    <mergeCell ref="A3:B3"/>
    <mergeCell ref="A4:B4"/>
    <mergeCell ref="A5:B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1">
      <selection activeCell="B31" sqref="B31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1005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/>
      <c r="D11" s="136"/>
    </row>
    <row r="12" spans="1:4" ht="15.75" thickBot="1">
      <c r="A12" s="1341" t="s">
        <v>646</v>
      </c>
      <c r="B12" s="1342"/>
      <c r="C12" s="137">
        <v>76118.69</v>
      </c>
      <c r="D12" s="136"/>
    </row>
    <row r="13" spans="1:4" ht="15.75" thickBot="1">
      <c r="A13" s="1341" t="s">
        <v>647</v>
      </c>
      <c r="B13" s="1342"/>
      <c r="C13" s="135">
        <v>42595.27</v>
      </c>
      <c r="D13" s="136"/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33523.420000000006</v>
      </c>
      <c r="D15" s="136"/>
    </row>
    <row r="16" spans="1:4" ht="15.75" thickBot="1">
      <c r="A16" s="1341" t="s">
        <v>806</v>
      </c>
      <c r="B16" s="1342"/>
      <c r="C16" s="170">
        <f>D22+D26</f>
        <v>31428.16</v>
      </c>
      <c r="D16" s="138"/>
    </row>
    <row r="17" spans="2:3" ht="12.75">
      <c r="B17" s="83"/>
      <c r="C17" s="81"/>
    </row>
    <row r="18" spans="1:4" ht="18.75">
      <c r="A18" s="1397" t="s">
        <v>650</v>
      </c>
      <c r="B18" s="1397"/>
      <c r="C18" s="1397"/>
      <c r="D18" s="1397"/>
    </row>
    <row r="19" spans="1:4" ht="18.75">
      <c r="A19" s="1397" t="s">
        <v>1009</v>
      </c>
      <c r="B19" s="1397"/>
      <c r="C19" s="1397"/>
      <c r="D19" s="1397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</f>
        <v>14288.84</v>
      </c>
    </row>
    <row r="23" spans="1:4" ht="27" thickBot="1">
      <c r="A23" s="166" t="s">
        <v>662</v>
      </c>
      <c r="B23" s="64" t="s">
        <v>652</v>
      </c>
      <c r="C23" s="45"/>
      <c r="D23" s="208">
        <v>2839.25</v>
      </c>
    </row>
    <row r="24" spans="1:4" ht="15.75" thickBot="1">
      <c r="A24" s="133" t="s">
        <v>654</v>
      </c>
      <c r="B24" s="48" t="s">
        <v>656</v>
      </c>
      <c r="C24" s="45" t="s">
        <v>801</v>
      </c>
      <c r="D24" s="208">
        <v>9713.79</v>
      </c>
    </row>
    <row r="25" spans="1:4" ht="15.75" thickBot="1">
      <c r="A25" s="147" t="s">
        <v>685</v>
      </c>
      <c r="B25" s="184" t="s">
        <v>817</v>
      </c>
      <c r="C25" s="45" t="s">
        <v>801</v>
      </c>
      <c r="D25" s="209">
        <v>1735.8</v>
      </c>
    </row>
    <row r="26" spans="1:4" ht="15.75" thickBot="1">
      <c r="A26" s="227" t="s">
        <v>760</v>
      </c>
      <c r="B26" s="59"/>
      <c r="C26" s="228"/>
      <c r="D26" s="229">
        <f>D37</f>
        <v>17139.32</v>
      </c>
    </row>
    <row r="27" spans="1:4" ht="14.25">
      <c r="A27" s="151" t="s">
        <v>1011</v>
      </c>
      <c r="B27" s="216"/>
      <c r="C27" s="217"/>
      <c r="D27" s="218"/>
    </row>
    <row r="28" spans="1:4" ht="14.25">
      <c r="A28" s="157" t="s">
        <v>815</v>
      </c>
      <c r="B28" s="74" t="s">
        <v>661</v>
      </c>
      <c r="C28" s="153"/>
      <c r="D28" s="179">
        <v>1807.7</v>
      </c>
    </row>
    <row r="29" spans="1:4" ht="14.25">
      <c r="A29" s="132" t="s">
        <v>883</v>
      </c>
      <c r="B29" s="74" t="s">
        <v>661</v>
      </c>
      <c r="C29" s="153"/>
      <c r="D29" s="179">
        <v>4209.51</v>
      </c>
    </row>
    <row r="30" spans="1:4" ht="14.25">
      <c r="A30" s="157" t="s">
        <v>880</v>
      </c>
      <c r="B30" s="74" t="s">
        <v>661</v>
      </c>
      <c r="C30" s="153"/>
      <c r="D30" s="179">
        <v>2208.57</v>
      </c>
    </row>
    <row r="31" spans="1:4" ht="14.25">
      <c r="A31" s="157" t="s">
        <v>881</v>
      </c>
      <c r="B31" s="74" t="s">
        <v>661</v>
      </c>
      <c r="C31" s="153"/>
      <c r="D31" s="180">
        <v>2336.78</v>
      </c>
    </row>
    <row r="32" spans="1:4" ht="14.25">
      <c r="A32" s="40"/>
      <c r="B32" s="112"/>
      <c r="C32" s="153"/>
      <c r="D32" s="86"/>
    </row>
    <row r="33" spans="1:4" ht="15">
      <c r="A33" s="151" t="s">
        <v>1012</v>
      </c>
      <c r="B33" s="118"/>
      <c r="C33" s="153"/>
      <c r="D33" s="191"/>
    </row>
    <row r="34" spans="1:4" ht="14.25">
      <c r="A34" s="159" t="s">
        <v>884</v>
      </c>
      <c r="B34" s="74" t="s">
        <v>661</v>
      </c>
      <c r="C34" s="153"/>
      <c r="D34" s="192">
        <v>6576.76</v>
      </c>
    </row>
    <row r="35" spans="1:4" ht="14.25">
      <c r="A35" s="159"/>
      <c r="B35" s="158"/>
      <c r="C35" s="152"/>
      <c r="D35" s="192"/>
    </row>
    <row r="36" spans="1:4" ht="14.25" hidden="1">
      <c r="A36" s="157"/>
      <c r="B36" s="153"/>
      <c r="C36" s="152"/>
      <c r="D36" s="192"/>
    </row>
    <row r="37" spans="1:4" ht="15" hidden="1">
      <c r="A37" s="162" t="s">
        <v>821</v>
      </c>
      <c r="B37" s="163"/>
      <c r="C37" s="164"/>
      <c r="D37" s="206">
        <f>SUM(D27:D36)</f>
        <v>17139.32</v>
      </c>
    </row>
    <row r="38" spans="1:4" ht="15">
      <c r="A38" s="71"/>
      <c r="B38" s="11"/>
      <c r="C38" s="11"/>
      <c r="D38" s="207"/>
    </row>
    <row r="39" spans="1:4" ht="15">
      <c r="A39" s="71"/>
      <c r="B39" s="11"/>
      <c r="C39" s="11"/>
      <c r="D39" s="11"/>
    </row>
    <row r="40" spans="1:4" ht="15">
      <c r="A40" s="71"/>
      <c r="B40" s="11"/>
      <c r="C40" s="11"/>
      <c r="D40" s="11"/>
    </row>
    <row r="41" spans="1:4" ht="15">
      <c r="A41" s="71"/>
      <c r="B41" s="11"/>
      <c r="C41" s="11"/>
      <c r="D41" s="11"/>
    </row>
    <row r="42" spans="1:3" ht="15.75">
      <c r="A42" s="187" t="s">
        <v>921</v>
      </c>
      <c r="B42" s="187"/>
      <c r="C42" s="187" t="s">
        <v>889</v>
      </c>
    </row>
  </sheetData>
  <sheetProtection/>
  <mergeCells count="13">
    <mergeCell ref="A7:B7"/>
    <mergeCell ref="A9:B10"/>
    <mergeCell ref="A19:D19"/>
    <mergeCell ref="A12:B12"/>
    <mergeCell ref="A13:B13"/>
    <mergeCell ref="A14:B14"/>
    <mergeCell ref="A15:B15"/>
    <mergeCell ref="A16:B16"/>
    <mergeCell ref="A18:D18"/>
    <mergeCell ref="A2:B2"/>
    <mergeCell ref="A3:B3"/>
    <mergeCell ref="A4:B4"/>
    <mergeCell ref="A5:B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99CC"/>
  </sheetPr>
  <dimension ref="A1:J70"/>
  <sheetViews>
    <sheetView zoomScalePageLayoutView="0" workbookViewId="0" topLeftCell="A8">
      <selection activeCell="C24" sqref="C24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spans="1:4" ht="14.25" hidden="1">
      <c r="A1" s="302" t="s">
        <v>64</v>
      </c>
      <c r="B1" s="298" t="s">
        <v>71</v>
      </c>
      <c r="C1" s="299">
        <v>9</v>
      </c>
      <c r="D1" s="334">
        <v>0</v>
      </c>
    </row>
    <row r="2" spans="1:4" ht="14.25" hidden="1">
      <c r="A2" s="302" t="s">
        <v>73</v>
      </c>
      <c r="B2" s="305" t="s">
        <v>74</v>
      </c>
      <c r="C2" s="299">
        <v>0.01</v>
      </c>
      <c r="D2" s="334">
        <v>0</v>
      </c>
    </row>
    <row r="3" spans="1:4" ht="12.75" hidden="1">
      <c r="A3" s="348" t="s">
        <v>75</v>
      </c>
      <c r="B3" s="320" t="s">
        <v>63</v>
      </c>
      <c r="C3" s="349"/>
      <c r="D3" s="351">
        <v>0</v>
      </c>
    </row>
    <row r="4" spans="1:4" ht="14.25" hidden="1">
      <c r="A4" s="348" t="s">
        <v>222</v>
      </c>
      <c r="B4" s="320" t="s">
        <v>63</v>
      </c>
      <c r="C4" s="177">
        <v>6</v>
      </c>
      <c r="D4" s="335">
        <v>0</v>
      </c>
    </row>
    <row r="5" spans="1:4" ht="14.25" hidden="1">
      <c r="A5" s="322" t="s">
        <v>76</v>
      </c>
      <c r="B5" s="320" t="s">
        <v>40</v>
      </c>
      <c r="C5" s="177">
        <v>1</v>
      </c>
      <c r="D5" s="335">
        <v>0</v>
      </c>
    </row>
    <row r="6" spans="1:4" ht="12.75" hidden="1">
      <c r="A6" s="345" t="s">
        <v>85</v>
      </c>
      <c r="B6" s="298" t="s">
        <v>40</v>
      </c>
      <c r="C6" s="346">
        <v>8</v>
      </c>
      <c r="D6" s="352">
        <v>0</v>
      </c>
    </row>
    <row r="7" spans="1:4" ht="14.25" hidden="1">
      <c r="A7" s="302" t="s">
        <v>112</v>
      </c>
      <c r="B7" s="298" t="s">
        <v>40</v>
      </c>
      <c r="C7" s="299">
        <v>4</v>
      </c>
      <c r="D7" s="334">
        <v>0</v>
      </c>
    </row>
    <row r="8" spans="1:4" ht="15.75">
      <c r="A8" s="6"/>
      <c r="D8" s="11"/>
    </row>
    <row r="9" ht="12.75">
      <c r="D9" s="1" t="s">
        <v>792</v>
      </c>
    </row>
    <row r="10" spans="1:4" ht="22.5">
      <c r="A10" s="1331" t="s">
        <v>687</v>
      </c>
      <c r="B10" s="1331"/>
      <c r="C10" s="140"/>
      <c r="D10" s="140"/>
    </row>
    <row r="11" spans="1:4" ht="15.75">
      <c r="A11" s="1363" t="s">
        <v>497</v>
      </c>
      <c r="B11" s="1363"/>
      <c r="C11" s="91"/>
      <c r="D11" s="91"/>
    </row>
    <row r="12" spans="1:4" ht="15.75">
      <c r="A12" s="1363" t="s">
        <v>641</v>
      </c>
      <c r="B12" s="1363"/>
      <c r="C12" s="91"/>
      <c r="D12" s="91"/>
    </row>
    <row r="13" spans="1:4" ht="15.75">
      <c r="A13" s="1363" t="s">
        <v>804</v>
      </c>
      <c r="B13" s="1363"/>
      <c r="C13" s="91"/>
      <c r="D13" s="91"/>
    </row>
    <row r="14" spans="1:3" ht="12" customHeight="1">
      <c r="A14" s="26"/>
      <c r="B14" s="26"/>
      <c r="C14"/>
    </row>
    <row r="15" spans="1:4" ht="15">
      <c r="A15" s="1343" t="s">
        <v>544</v>
      </c>
      <c r="B15" s="1343"/>
      <c r="C15" s="139"/>
      <c r="D15" s="139"/>
    </row>
    <row r="16" spans="1:4" ht="15">
      <c r="A16" s="324"/>
      <c r="B16" s="324"/>
      <c r="C16" s="139"/>
      <c r="D16" s="139"/>
    </row>
    <row r="17" spans="1:4" ht="12.75" customHeight="1">
      <c r="A17" s="1366" t="s">
        <v>642</v>
      </c>
      <c r="B17" s="1367"/>
      <c r="C17" s="1366" t="s">
        <v>488</v>
      </c>
      <c r="D17" s="1367"/>
    </row>
    <row r="18" spans="1:4" ht="12.75">
      <c r="A18" s="1368"/>
      <c r="B18" s="1369"/>
      <c r="C18" s="1368"/>
      <c r="D18" s="1369"/>
    </row>
    <row r="19" spans="1:4" ht="15">
      <c r="A19" s="372" t="s">
        <v>347</v>
      </c>
      <c r="B19" s="472"/>
      <c r="C19" s="1377">
        <v>23069.57</v>
      </c>
      <c r="D19" s="1378"/>
    </row>
    <row r="20" spans="1:4" ht="14.25">
      <c r="A20" s="471" t="s">
        <v>852</v>
      </c>
      <c r="B20" s="473"/>
      <c r="C20" s="1310">
        <v>182623.8</v>
      </c>
      <c r="D20" s="1311"/>
    </row>
    <row r="21" spans="1:4" ht="14.25">
      <c r="A21" s="470" t="s">
        <v>647</v>
      </c>
      <c r="B21" s="474"/>
      <c r="C21" s="1312">
        <v>151957.32</v>
      </c>
      <c r="D21" s="1313"/>
    </row>
    <row r="22" spans="1:7" ht="15">
      <c r="A22" s="475" t="s">
        <v>348</v>
      </c>
      <c r="B22" s="476"/>
      <c r="C22" s="1377">
        <f>C19+C20-C21</f>
        <v>53736.04999999999</v>
      </c>
      <c r="D22" s="1378"/>
      <c r="G22" s="111"/>
    </row>
    <row r="23" spans="1:4" ht="14.25">
      <c r="A23" s="470" t="s">
        <v>540</v>
      </c>
      <c r="B23" s="474"/>
      <c r="C23" s="1407">
        <v>89664.99</v>
      </c>
      <c r="D23" s="1408"/>
    </row>
    <row r="24" spans="1:4" ht="12.75">
      <c r="A24" s="82"/>
      <c r="B24" s="83"/>
      <c r="C24" s="83"/>
      <c r="D24" s="83"/>
    </row>
    <row r="25" spans="1:4" ht="15.75">
      <c r="A25" s="1340" t="s">
        <v>650</v>
      </c>
      <c r="B25" s="1340"/>
      <c r="C25" s="1340"/>
      <c r="D25" s="1340"/>
    </row>
    <row r="26" spans="1:4" ht="15.75">
      <c r="A26" s="1340" t="s">
        <v>346</v>
      </c>
      <c r="B26" s="1340"/>
      <c r="C26" s="1340"/>
      <c r="D26" s="1340"/>
    </row>
    <row r="27" spans="1:4" ht="12.75">
      <c r="A27" s="82"/>
      <c r="B27" s="82"/>
      <c r="C27" s="103"/>
      <c r="D27" s="82"/>
    </row>
    <row r="28" spans="1:4" ht="26.25" thickBot="1">
      <c r="A28" s="501" t="s">
        <v>892</v>
      </c>
      <c r="B28" s="502" t="s">
        <v>667</v>
      </c>
      <c r="C28" s="499" t="s">
        <v>673</v>
      </c>
      <c r="D28" s="503" t="s">
        <v>793</v>
      </c>
    </row>
    <row r="29" spans="1:4" ht="16.5" thickBot="1">
      <c r="A29" s="477" t="s">
        <v>913</v>
      </c>
      <c r="B29" s="504"/>
      <c r="C29" s="456"/>
      <c r="D29" s="468"/>
    </row>
    <row r="30" spans="1:4" ht="26.25">
      <c r="A30" s="537" t="s">
        <v>105</v>
      </c>
      <c r="B30" s="637" t="s">
        <v>652</v>
      </c>
      <c r="C30" s="536"/>
      <c r="D30" s="528"/>
    </row>
    <row r="31" spans="1:4" ht="15">
      <c r="A31" s="389" t="s">
        <v>654</v>
      </c>
      <c r="B31" s="398" t="s">
        <v>656</v>
      </c>
      <c r="C31" s="398" t="s">
        <v>801</v>
      </c>
      <c r="D31" s="509">
        <v>18275.7</v>
      </c>
    </row>
    <row r="32" spans="1:4" ht="15">
      <c r="A32" s="389" t="s">
        <v>799</v>
      </c>
      <c r="B32" s="505" t="s">
        <v>661</v>
      </c>
      <c r="C32" s="491"/>
      <c r="D32" s="402">
        <v>40435.38</v>
      </c>
    </row>
    <row r="33" spans="1:4" ht="15.75" thickBot="1">
      <c r="A33" s="390" t="s">
        <v>210</v>
      </c>
      <c r="B33" s="511"/>
      <c r="C33" s="405"/>
      <c r="D33" s="512">
        <v>1622.76</v>
      </c>
    </row>
    <row r="34" spans="1:4" ht="15.75" thickBot="1">
      <c r="A34" s="805" t="s">
        <v>901</v>
      </c>
      <c r="B34" s="980"/>
      <c r="C34" s="981"/>
      <c r="D34" s="940">
        <v>60333.84</v>
      </c>
    </row>
    <row r="35" spans="1:4" ht="15.75" thickBot="1">
      <c r="A35" s="680" t="s">
        <v>441</v>
      </c>
      <c r="B35" s="1135"/>
      <c r="C35" s="1136"/>
      <c r="D35" s="1142"/>
    </row>
    <row r="36" spans="1:4" ht="24">
      <c r="A36" s="808" t="s">
        <v>204</v>
      </c>
      <c r="B36" s="514" t="s">
        <v>920</v>
      </c>
      <c r="C36" s="515" t="s">
        <v>673</v>
      </c>
      <c r="D36" s="516" t="s">
        <v>793</v>
      </c>
    </row>
    <row r="37" spans="1:4" ht="15" customHeight="1" thickBot="1">
      <c r="A37" s="799" t="s">
        <v>11</v>
      </c>
      <c r="B37" s="1019"/>
      <c r="C37" s="439"/>
      <c r="D37" s="439">
        <v>3901.83</v>
      </c>
    </row>
    <row r="38" spans="1:4" ht="15" customHeight="1" thickBot="1">
      <c r="A38" s="805" t="s">
        <v>901</v>
      </c>
      <c r="B38" s="817"/>
      <c r="C38" s="1020"/>
      <c r="D38" s="940">
        <v>3901.83</v>
      </c>
    </row>
    <row r="39" spans="1:4" ht="15">
      <c r="A39" s="465" t="s">
        <v>445</v>
      </c>
      <c r="B39" s="376"/>
      <c r="C39" s="377"/>
      <c r="D39" s="441"/>
    </row>
    <row r="40" spans="1:4" ht="15">
      <c r="A40" s="359" t="s">
        <v>393</v>
      </c>
      <c r="B40" s="364"/>
      <c r="C40" s="421">
        <v>1</v>
      </c>
      <c r="D40" s="425">
        <v>578.83</v>
      </c>
    </row>
    <row r="41" spans="1:4" ht="15">
      <c r="A41" s="359" t="s">
        <v>443</v>
      </c>
      <c r="B41" s="364" t="s">
        <v>40</v>
      </c>
      <c r="C41" s="421">
        <v>1</v>
      </c>
      <c r="D41" s="425">
        <v>214.84</v>
      </c>
    </row>
    <row r="42" spans="1:4" ht="15.75" thickBot="1">
      <c r="A42" s="807" t="s">
        <v>444</v>
      </c>
      <c r="B42" s="978" t="s">
        <v>40</v>
      </c>
      <c r="C42" s="439">
        <v>1</v>
      </c>
      <c r="D42" s="425">
        <v>558.56</v>
      </c>
    </row>
    <row r="43" spans="1:4" ht="15.75" thickBot="1">
      <c r="A43" s="806" t="s">
        <v>901</v>
      </c>
      <c r="B43" s="1018"/>
      <c r="C43" s="803"/>
      <c r="D43" s="533">
        <v>1352.23</v>
      </c>
    </row>
    <row r="44" spans="1:4" ht="15">
      <c r="A44" s="808" t="s">
        <v>192</v>
      </c>
      <c r="B44" s="760"/>
      <c r="C44" s="441"/>
      <c r="D44" s="810"/>
    </row>
    <row r="45" spans="1:4" ht="15">
      <c r="A45" s="377" t="s">
        <v>479</v>
      </c>
      <c r="B45" s="760" t="s">
        <v>52</v>
      </c>
      <c r="C45" s="441">
        <v>1</v>
      </c>
      <c r="D45" s="532">
        <v>355.01</v>
      </c>
    </row>
    <row r="46" spans="1:4" ht="15.75" thickBot="1">
      <c r="A46" s="799" t="s">
        <v>882</v>
      </c>
      <c r="B46" s="760"/>
      <c r="C46" s="836">
        <v>1</v>
      </c>
      <c r="D46" s="810">
        <v>394.86</v>
      </c>
    </row>
    <row r="47" spans="1:4" ht="15.75" thickBot="1">
      <c r="A47" s="806" t="s">
        <v>901</v>
      </c>
      <c r="B47" s="1143"/>
      <c r="C47" s="1080"/>
      <c r="D47" s="533">
        <v>749.87</v>
      </c>
    </row>
    <row r="48" spans="1:4" ht="15">
      <c r="A48" s="377"/>
      <c r="B48" s="364"/>
      <c r="C48" s="441"/>
      <c r="D48" s="810"/>
    </row>
    <row r="49" spans="1:4" ht="15">
      <c r="A49" s="838" t="s">
        <v>375</v>
      </c>
      <c r="B49" s="364"/>
      <c r="C49" s="421"/>
      <c r="D49" s="1089">
        <v>6003.93</v>
      </c>
    </row>
    <row r="50" spans="1:4" ht="15">
      <c r="A50" s="359"/>
      <c r="B50" s="364"/>
      <c r="C50" s="421"/>
      <c r="D50" s="1089"/>
    </row>
    <row r="51" spans="1:4" ht="15">
      <c r="A51" s="944" t="s">
        <v>442</v>
      </c>
      <c r="B51" s="358"/>
      <c r="C51" s="358"/>
      <c r="D51" s="891">
        <v>6767.37</v>
      </c>
    </row>
    <row r="52" spans="1:4" ht="15">
      <c r="A52" s="944" t="s">
        <v>904</v>
      </c>
      <c r="B52" s="358"/>
      <c r="C52" s="369"/>
      <c r="D52" s="428">
        <v>0</v>
      </c>
    </row>
    <row r="53" spans="1:10" ht="14.25">
      <c r="A53" s="465" t="s">
        <v>775</v>
      </c>
      <c r="B53" s="358"/>
      <c r="C53" s="369"/>
      <c r="D53" s="869">
        <v>16559.85</v>
      </c>
      <c r="J53" s="8"/>
    </row>
    <row r="54" spans="1:4" ht="15.75" thickBot="1">
      <c r="A54" s="526"/>
      <c r="B54" s="381"/>
      <c r="C54" s="882"/>
      <c r="D54" s="541"/>
    </row>
    <row r="55" spans="1:4" ht="15.75" thickBot="1">
      <c r="A55" s="806" t="s">
        <v>918</v>
      </c>
      <c r="B55" s="957"/>
      <c r="C55" s="1023"/>
      <c r="D55" s="863">
        <v>89664.99</v>
      </c>
    </row>
    <row r="56" spans="1:4" ht="15">
      <c r="A56" s="572"/>
      <c r="B56" s="440"/>
      <c r="C56" s="531"/>
      <c r="D56" s="661"/>
    </row>
    <row r="57" spans="1:4" ht="14.25">
      <c r="A57" s="764"/>
      <c r="B57" s="358"/>
      <c r="C57" s="359"/>
      <c r="D57" s="1262"/>
    </row>
    <row r="58" spans="1:4" ht="15">
      <c r="A58" s="1251" t="s">
        <v>568</v>
      </c>
      <c r="B58" s="1257"/>
      <c r="C58" s="467"/>
      <c r="D58" s="467">
        <v>0</v>
      </c>
    </row>
    <row r="59" spans="1:4" ht="15">
      <c r="A59" s="1332" t="s">
        <v>569</v>
      </c>
      <c r="B59" s="1332"/>
      <c r="C59" s="628"/>
      <c r="D59" s="608">
        <v>151957.32</v>
      </c>
    </row>
    <row r="60" spans="1:4" ht="15">
      <c r="A60" s="1332" t="s">
        <v>570</v>
      </c>
      <c r="B60" s="1332"/>
      <c r="C60" s="607"/>
      <c r="D60" s="608">
        <v>89664.99</v>
      </c>
    </row>
    <row r="61" spans="1:4" ht="15">
      <c r="A61" s="1333" t="s">
        <v>571</v>
      </c>
      <c r="B61" s="1333"/>
      <c r="C61" s="629"/>
      <c r="D61" s="629">
        <v>-62292.33</v>
      </c>
    </row>
    <row r="62" spans="1:4" ht="15">
      <c r="A62" s="1332" t="s">
        <v>179</v>
      </c>
      <c r="B62" s="1332"/>
      <c r="C62" s="1258"/>
      <c r="D62" s="630">
        <v>-62292.33</v>
      </c>
    </row>
    <row r="63" spans="1:4" ht="15">
      <c r="A63" s="538"/>
      <c r="B63" s="538"/>
      <c r="C63" s="1259"/>
      <c r="D63" s="1260"/>
    </row>
    <row r="64" spans="1:4" ht="15">
      <c r="A64" s="538"/>
      <c r="B64" s="538"/>
      <c r="C64" s="1259"/>
      <c r="D64" s="1260"/>
    </row>
    <row r="65" spans="1:4" ht="15">
      <c r="A65" s="538"/>
      <c r="B65" s="538"/>
      <c r="C65" s="1259"/>
      <c r="D65" s="1260"/>
    </row>
    <row r="66" spans="1:4" ht="15">
      <c r="A66" s="538" t="s">
        <v>180</v>
      </c>
      <c r="B66" s="538"/>
      <c r="C66" s="1259" t="s">
        <v>573</v>
      </c>
      <c r="D66" s="1260"/>
    </row>
    <row r="67" spans="1:4" ht="15">
      <c r="A67" s="538"/>
      <c r="B67" s="538"/>
      <c r="C67" s="1259"/>
      <c r="D67" s="1260"/>
    </row>
    <row r="68" ht="12.75">
      <c r="A68" s="735" t="s">
        <v>357</v>
      </c>
    </row>
    <row r="69" ht="12.75">
      <c r="A69" s="735" t="s">
        <v>906</v>
      </c>
    </row>
    <row r="70" ht="12.75">
      <c r="A70" s="735" t="s">
        <v>358</v>
      </c>
    </row>
  </sheetData>
  <sheetProtection/>
  <mergeCells count="18">
    <mergeCell ref="A15:B15"/>
    <mergeCell ref="A17:B18"/>
    <mergeCell ref="A10:B10"/>
    <mergeCell ref="A11:B11"/>
    <mergeCell ref="A12:B12"/>
    <mergeCell ref="A13:B13"/>
    <mergeCell ref="C17:D18"/>
    <mergeCell ref="C19:D19"/>
    <mergeCell ref="A25:D25"/>
    <mergeCell ref="A26:D26"/>
    <mergeCell ref="C20:D20"/>
    <mergeCell ref="C21:D21"/>
    <mergeCell ref="C22:D22"/>
    <mergeCell ref="C23:D23"/>
    <mergeCell ref="A59:B59"/>
    <mergeCell ref="A60:B60"/>
    <mergeCell ref="A61:B61"/>
    <mergeCell ref="A62:B62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B15" sqref="B15:C16"/>
    </sheetView>
  </sheetViews>
  <sheetFormatPr defaultColWidth="9.140625" defaultRowHeight="12.75"/>
  <cols>
    <col min="1" max="1" width="0.71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2.421875" style="0" customWidth="1"/>
  </cols>
  <sheetData>
    <row r="1" spans="1:4" ht="12.75">
      <c r="A1" t="s">
        <v>833</v>
      </c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834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88">
        <f>85827.49+471.88</f>
        <v>86299.37000000001</v>
      </c>
      <c r="E11" s="25">
        <v>14853.31</v>
      </c>
    </row>
    <row r="12" spans="2:5" ht="16.5" thickBot="1">
      <c r="B12" s="1398" t="s">
        <v>646</v>
      </c>
      <c r="C12" s="1399"/>
      <c r="D12" s="76">
        <f>581420.64+2329.28</f>
        <v>583749.92</v>
      </c>
      <c r="E12" s="5">
        <v>31274.46</v>
      </c>
    </row>
    <row r="13" spans="2:5" ht="16.5" thickBot="1">
      <c r="B13" s="1398" t="s">
        <v>647</v>
      </c>
      <c r="C13" s="1399"/>
      <c r="D13" s="58">
        <f>605596.41+2801.16</f>
        <v>608397.5700000001</v>
      </c>
      <c r="E13" s="5">
        <v>46128.78</v>
      </c>
    </row>
    <row r="14" spans="2:5" ht="16.5" hidden="1" thickBot="1">
      <c r="B14" s="1398" t="s">
        <v>666</v>
      </c>
      <c r="C14" s="1399"/>
      <c r="D14" s="58"/>
      <c r="E14" s="5"/>
    </row>
    <row r="15" spans="2:5" ht="16.5" thickBot="1">
      <c r="B15" s="1341" t="s">
        <v>46</v>
      </c>
      <c r="C15" s="1342"/>
      <c r="D15" s="58">
        <v>12646.92</v>
      </c>
      <c r="E15" s="5"/>
    </row>
    <row r="16" spans="2:5" ht="16.5" thickBot="1">
      <c r="B16" s="1341" t="s">
        <v>47</v>
      </c>
      <c r="C16" s="1342"/>
      <c r="D16" s="58"/>
      <c r="E16" s="5"/>
    </row>
    <row r="17" spans="2:5" ht="16.5" thickBot="1">
      <c r="B17" s="1398" t="s">
        <v>648</v>
      </c>
      <c r="C17" s="1399"/>
      <c r="D17" s="58">
        <f>D11+D12-D13</f>
        <v>61651.71999999997</v>
      </c>
      <c r="E17" s="5">
        <f>E11+E12-E13</f>
        <v>-1.0100000000020373</v>
      </c>
    </row>
    <row r="18" spans="2:5" ht="16.5" thickBot="1">
      <c r="B18" s="1398" t="s">
        <v>806</v>
      </c>
      <c r="C18" s="1399"/>
      <c r="D18" s="236">
        <f>E24+E47</f>
        <v>615121.47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E25+E31+E33+E34+E35+E45</f>
        <v>424427.0399999999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208067.06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96094.15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98023.42</v>
      </c>
    </row>
    <row r="34" spans="2:5" ht="16.5" thickBot="1">
      <c r="B34" s="67" t="s">
        <v>879</v>
      </c>
      <c r="C34" s="64" t="s">
        <v>661</v>
      </c>
      <c r="D34" s="43"/>
      <c r="E34" s="230">
        <v>1205.25</v>
      </c>
    </row>
    <row r="35" spans="2:5" ht="16.5" thickBot="1">
      <c r="B35" s="133" t="s">
        <v>799</v>
      </c>
      <c r="C35" s="64" t="s">
        <v>661</v>
      </c>
      <c r="D35" s="43"/>
      <c r="E35" s="230">
        <v>1009.75</v>
      </c>
    </row>
    <row r="36" spans="2:5" ht="16.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78.75" hidden="1" thickBot="1">
      <c r="B39" s="36" t="s">
        <v>790</v>
      </c>
      <c r="C39" s="65" t="s">
        <v>661</v>
      </c>
      <c r="D39" s="44"/>
      <c r="E39" s="174"/>
    </row>
    <row r="40" spans="2:5" ht="48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39.75" hidden="1" thickBot="1">
      <c r="B43" s="67" t="s">
        <v>670</v>
      </c>
      <c r="C43" s="64" t="s">
        <v>684</v>
      </c>
      <c r="D43" s="46"/>
      <c r="E43" s="240"/>
    </row>
    <row r="44" spans="2:5" ht="48" hidden="1" thickBot="1">
      <c r="B44" s="68" t="s">
        <v>800</v>
      </c>
      <c r="C44" s="65" t="s">
        <v>661</v>
      </c>
      <c r="D44" s="44"/>
      <c r="E44" s="174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20027.41</v>
      </c>
    </row>
    <row r="46" spans="2:5" ht="32.25" hidden="1" thickBot="1">
      <c r="B46" s="70" t="s">
        <v>802</v>
      </c>
      <c r="C46" s="47"/>
      <c r="D46" s="44"/>
      <c r="E46" s="174"/>
    </row>
    <row r="47" spans="2:5" ht="20.25" thickBot="1">
      <c r="B47" s="14" t="s">
        <v>760</v>
      </c>
      <c r="C47" s="17"/>
      <c r="E47" s="87">
        <f>E64</f>
        <v>190694.43</v>
      </c>
    </row>
    <row r="48" spans="2:5" ht="15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4.25">
      <c r="B49" s="156" t="s">
        <v>816</v>
      </c>
      <c r="C49" s="74" t="s">
        <v>661</v>
      </c>
      <c r="D49" s="153"/>
      <c r="E49" s="177">
        <v>5681.33</v>
      </c>
    </row>
    <row r="50" spans="2:5" ht="14.25">
      <c r="B50" s="188" t="s">
        <v>928</v>
      </c>
      <c r="C50" s="74" t="s">
        <v>661</v>
      </c>
      <c r="D50" s="153"/>
      <c r="E50" s="177">
        <f>1113.22+7592.73+2250</f>
        <v>10955.949999999999</v>
      </c>
    </row>
    <row r="51" spans="2:5" ht="14.25">
      <c r="B51" s="188" t="s">
        <v>1013</v>
      </c>
      <c r="C51" s="74" t="s">
        <v>661</v>
      </c>
      <c r="D51" s="153"/>
      <c r="E51" s="177">
        <v>31120.59</v>
      </c>
    </row>
    <row r="52" spans="2:5" ht="14.25">
      <c r="B52" s="151" t="s">
        <v>676</v>
      </c>
      <c r="C52" s="116"/>
      <c r="D52" s="153"/>
      <c r="E52" s="177"/>
    </row>
    <row r="53" spans="2:5" ht="14.25">
      <c r="B53" s="157" t="s">
        <v>815</v>
      </c>
      <c r="C53" s="74" t="s">
        <v>661</v>
      </c>
      <c r="D53" s="153"/>
      <c r="E53" s="178">
        <v>6404.97</v>
      </c>
    </row>
    <row r="54" spans="2:5" ht="14.25">
      <c r="B54" s="132" t="s">
        <v>883</v>
      </c>
      <c r="C54" s="74" t="s">
        <v>661</v>
      </c>
      <c r="D54" s="153"/>
      <c r="E54" s="179">
        <v>31952.5</v>
      </c>
    </row>
    <row r="55" spans="2:5" ht="14.25">
      <c r="B55" s="157" t="s">
        <v>880</v>
      </c>
      <c r="C55" s="74" t="s">
        <v>661</v>
      </c>
      <c r="D55" s="153"/>
      <c r="E55" s="179">
        <v>13779.49</v>
      </c>
    </row>
    <row r="56" spans="2:5" ht="14.25">
      <c r="B56" s="157" t="s">
        <v>925</v>
      </c>
      <c r="C56" s="74" t="s">
        <v>661</v>
      </c>
      <c r="D56" s="153"/>
      <c r="E56" s="180">
        <v>63548.35</v>
      </c>
    </row>
    <row r="57" spans="2:5" ht="15">
      <c r="B57" s="151" t="s">
        <v>682</v>
      </c>
      <c r="C57" s="118"/>
      <c r="D57" s="153"/>
      <c r="E57" s="191"/>
    </row>
    <row r="58" spans="2:5" ht="14.25">
      <c r="B58" s="159" t="s">
        <v>884</v>
      </c>
      <c r="C58" s="74" t="s">
        <v>661</v>
      </c>
      <c r="D58" s="153"/>
      <c r="E58" s="192">
        <v>4365.09</v>
      </c>
    </row>
    <row r="59" spans="2:5" ht="14.25">
      <c r="B59" s="159" t="s">
        <v>886</v>
      </c>
      <c r="C59" s="74" t="s">
        <v>661</v>
      </c>
      <c r="D59" s="153"/>
      <c r="E59" s="192">
        <v>3203.97</v>
      </c>
    </row>
    <row r="60" spans="2:5" ht="14.25">
      <c r="B60" s="159" t="s">
        <v>888</v>
      </c>
      <c r="C60" s="74" t="s">
        <v>661</v>
      </c>
      <c r="D60" s="153"/>
      <c r="E60" s="192">
        <f>324.06+415.97+352.78+2567.41+9280+359.42+3423.09+1627.96</f>
        <v>18350.69</v>
      </c>
    </row>
    <row r="61" spans="2:5" ht="14.25">
      <c r="B61" s="159" t="s">
        <v>929</v>
      </c>
      <c r="C61" s="74"/>
      <c r="D61" s="153"/>
      <c r="E61" s="192">
        <v>1331.5</v>
      </c>
    </row>
    <row r="62" spans="2:5" ht="12.75" hidden="1">
      <c r="B62" s="27"/>
      <c r="C62" s="50"/>
      <c r="D62" s="13"/>
      <c r="E62" s="13"/>
    </row>
    <row r="63" spans="2:5" ht="12.75" hidden="1">
      <c r="B63" s="13"/>
      <c r="C63" s="13"/>
      <c r="D63" s="13"/>
      <c r="E63" s="13"/>
    </row>
    <row r="64" spans="2:5" ht="12.75" hidden="1">
      <c r="B64" s="117" t="s">
        <v>1014</v>
      </c>
      <c r="C64" s="13"/>
      <c r="D64" s="13"/>
      <c r="E64" s="13">
        <f>E49+E50+E51+E53+E54+E55+E56+E58+E59+E60+E61</f>
        <v>190694.43</v>
      </c>
    </row>
    <row r="65" spans="2:5" ht="12.75">
      <c r="B65" s="103"/>
      <c r="C65" s="11"/>
      <c r="D65" s="11"/>
      <c r="E65" s="11"/>
    </row>
    <row r="66" spans="2:5" ht="12.75">
      <c r="B66" s="103"/>
      <c r="C66" s="11"/>
      <c r="D66" s="11"/>
      <c r="E66" s="11"/>
    </row>
    <row r="67" spans="2:5" ht="12.75">
      <c r="B67" s="103"/>
      <c r="C67" s="11"/>
      <c r="D67" s="11"/>
      <c r="E67" s="11"/>
    </row>
    <row r="68" spans="2:5" ht="12.75">
      <c r="B68" s="103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5">
      <c r="B70" s="71"/>
      <c r="C70" s="11"/>
      <c r="D70" s="11"/>
      <c r="E70" s="11"/>
    </row>
    <row r="71" spans="2:3" ht="15.75">
      <c r="B71" s="6" t="s">
        <v>830</v>
      </c>
      <c r="C71" s="6" t="s">
        <v>889</v>
      </c>
    </row>
    <row r="72" ht="15.75">
      <c r="B72" s="6"/>
    </row>
    <row r="73" ht="15.75">
      <c r="B73" s="6"/>
    </row>
    <row r="74" ht="15.75">
      <c r="B74" s="6"/>
    </row>
    <row r="75" ht="15.75">
      <c r="B75" s="6"/>
    </row>
    <row r="76" ht="15.75">
      <c r="B76" s="6"/>
    </row>
    <row r="78" ht="15.75">
      <c r="B78" s="7"/>
    </row>
  </sheetData>
  <sheetProtection/>
  <mergeCells count="15">
    <mergeCell ref="B16:C16"/>
    <mergeCell ref="B7:C7"/>
    <mergeCell ref="B9:C10"/>
    <mergeCell ref="B21:E21"/>
    <mergeCell ref="B12:C12"/>
    <mergeCell ref="B13:C13"/>
    <mergeCell ref="B14:C14"/>
    <mergeCell ref="B17:C17"/>
    <mergeCell ref="B18:C18"/>
    <mergeCell ref="B20:E20"/>
    <mergeCell ref="B15:C15"/>
    <mergeCell ref="B2:C2"/>
    <mergeCell ref="B3:C3"/>
    <mergeCell ref="B4:C4"/>
    <mergeCell ref="B5:C5"/>
  </mergeCells>
  <printOptions/>
  <pageMargins left="0" right="0" top="0.7480314960629921" bottom="0.15748031496062992" header="0.31496062992125984" footer="0.31496062992125984"/>
  <pageSetup horizontalDpi="600" verticalDpi="6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D63" sqref="D63"/>
    </sheetView>
  </sheetViews>
  <sheetFormatPr defaultColWidth="9.140625" defaultRowHeight="12.75"/>
  <cols>
    <col min="1" max="1" width="0.71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5.140625" style="0" customWidth="1"/>
  </cols>
  <sheetData>
    <row r="1" spans="1:4" ht="12.75">
      <c r="A1" t="s">
        <v>833</v>
      </c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835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88">
        <f>56668.53+197.2</f>
        <v>56865.729999999996</v>
      </c>
      <c r="E11" s="25">
        <v>12070.68</v>
      </c>
    </row>
    <row r="12" spans="2:5" ht="16.5" thickBot="1">
      <c r="B12" s="1398" t="s">
        <v>646</v>
      </c>
      <c r="C12" s="1399"/>
      <c r="D12" s="76">
        <f>625236+1586.32</f>
        <v>626822.32</v>
      </c>
      <c r="E12" s="5">
        <v>33551.48</v>
      </c>
    </row>
    <row r="13" spans="2:5" ht="16.5" thickBot="1">
      <c r="B13" s="1398" t="s">
        <v>647</v>
      </c>
      <c r="C13" s="1399"/>
      <c r="D13" s="58">
        <f>612766.09+1783.52</f>
        <v>614549.61</v>
      </c>
      <c r="E13" s="5">
        <v>45622.16</v>
      </c>
    </row>
    <row r="14" spans="2:5" ht="16.5" hidden="1" thickBot="1">
      <c r="B14" s="1398" t="s">
        <v>666</v>
      </c>
      <c r="C14" s="1399"/>
      <c r="D14" s="58"/>
      <c r="E14" s="5"/>
    </row>
    <row r="15" spans="2:5" ht="16.5" thickBot="1">
      <c r="B15" s="1398" t="s">
        <v>648</v>
      </c>
      <c r="C15" s="1399"/>
      <c r="D15" s="5">
        <f>D11+D12-D13</f>
        <v>69138.43999999994</v>
      </c>
      <c r="E15" s="5">
        <f>E11+E12-E13</f>
        <v>0</v>
      </c>
    </row>
    <row r="16" spans="2:5" ht="16.5" thickBot="1">
      <c r="B16" s="1398" t="s">
        <v>806</v>
      </c>
      <c r="C16" s="1399"/>
      <c r="D16" s="236">
        <f>E22+E60</f>
        <v>791394.4099999999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32.25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E23+E29+E31+E32+E42</f>
        <v>467038.12</v>
      </c>
    </row>
    <row r="23" spans="1:5" ht="32.25" thickBot="1">
      <c r="A23" s="11"/>
      <c r="B23" s="67" t="s">
        <v>662</v>
      </c>
      <c r="C23" s="64" t="s">
        <v>652</v>
      </c>
      <c r="D23" s="43"/>
      <c r="E23" s="230">
        <v>261357.52</v>
      </c>
    </row>
    <row r="24" spans="2:5" ht="32.25" hidden="1" thickBot="1">
      <c r="B24" s="67" t="s">
        <v>686</v>
      </c>
      <c r="C24" s="65" t="s">
        <v>661</v>
      </c>
      <c r="D24" s="44"/>
      <c r="E24" s="174"/>
    </row>
    <row r="25" spans="2:5" ht="16.5" hidden="1" thickBot="1">
      <c r="B25" s="67" t="s">
        <v>765</v>
      </c>
      <c r="C25" s="65" t="s">
        <v>661</v>
      </c>
      <c r="D25" s="44"/>
      <c r="E25" s="174"/>
    </row>
    <row r="26" spans="2:5" ht="39.75" hidden="1" thickBot="1">
      <c r="B26" s="67" t="s">
        <v>655</v>
      </c>
      <c r="C26" s="64" t="s">
        <v>653</v>
      </c>
      <c r="D26" s="45"/>
      <c r="E26" s="237"/>
    </row>
    <row r="27" spans="2:5" ht="48" hidden="1" thickBot="1">
      <c r="B27" s="67" t="s">
        <v>796</v>
      </c>
      <c r="C27" s="65" t="s">
        <v>661</v>
      </c>
      <c r="D27" s="44"/>
      <c r="E27" s="174"/>
    </row>
    <row r="28" spans="2:5" ht="48" hidden="1" thickBot="1">
      <c r="B28" s="67" t="s">
        <v>797</v>
      </c>
      <c r="C28" s="65" t="s">
        <v>661</v>
      </c>
      <c r="D28" s="44"/>
      <c r="E28" s="174"/>
    </row>
    <row r="29" spans="2:5" ht="16.5" thickBot="1">
      <c r="B29" s="67" t="s">
        <v>654</v>
      </c>
      <c r="C29" s="48" t="s">
        <v>656</v>
      </c>
      <c r="D29" s="43" t="s">
        <v>801</v>
      </c>
      <c r="E29" s="230">
        <v>96588.09</v>
      </c>
    </row>
    <row r="30" spans="2:5" ht="32.25" hidden="1" thickBot="1">
      <c r="B30" s="67" t="s">
        <v>798</v>
      </c>
      <c r="C30" s="65" t="s">
        <v>661</v>
      </c>
      <c r="D30" s="47" t="s">
        <v>822</v>
      </c>
      <c r="E30" s="174"/>
    </row>
    <row r="31" spans="2:5" ht="27" thickBot="1">
      <c r="B31" s="67" t="s">
        <v>658</v>
      </c>
      <c r="C31" s="64" t="s">
        <v>657</v>
      </c>
      <c r="D31" s="43"/>
      <c r="E31" s="230">
        <v>84187.8</v>
      </c>
    </row>
    <row r="32" spans="2:5" ht="16.5" thickBot="1">
      <c r="B32" s="67" t="s">
        <v>879</v>
      </c>
      <c r="C32" s="242" t="s">
        <v>661</v>
      </c>
      <c r="D32" s="43"/>
      <c r="E32" s="230">
        <f>109.15+5233.38</f>
        <v>5342.53</v>
      </c>
    </row>
    <row r="33" spans="2:5" ht="16.5" hidden="1" thickBot="1">
      <c r="B33" s="68" t="s">
        <v>758</v>
      </c>
      <c r="C33" s="64" t="s">
        <v>665</v>
      </c>
      <c r="D33" s="43"/>
      <c r="E33" s="238"/>
    </row>
    <row r="34" spans="2:5" ht="32.25" hidden="1" thickBot="1">
      <c r="B34" s="67" t="s">
        <v>664</v>
      </c>
      <c r="C34" s="65" t="s">
        <v>661</v>
      </c>
      <c r="D34" s="44"/>
      <c r="E34" s="174"/>
    </row>
    <row r="35" spans="2:5" ht="32.25" hidden="1" thickBot="1">
      <c r="B35" s="67" t="s">
        <v>671</v>
      </c>
      <c r="C35" s="65" t="s">
        <v>661</v>
      </c>
      <c r="D35" s="72"/>
      <c r="E35" s="239"/>
    </row>
    <row r="36" spans="2:5" ht="78.75" hidden="1" thickBot="1">
      <c r="B36" s="36" t="s">
        <v>790</v>
      </c>
      <c r="C36" s="65" t="s">
        <v>661</v>
      </c>
      <c r="D36" s="44"/>
      <c r="E36" s="174"/>
    </row>
    <row r="37" spans="2:5" ht="48" hidden="1" thickBot="1">
      <c r="B37" s="67" t="s">
        <v>767</v>
      </c>
      <c r="C37" s="64" t="s">
        <v>766</v>
      </c>
      <c r="D37" s="43"/>
      <c r="E37" s="238"/>
    </row>
    <row r="38" spans="2:5" ht="32.25" hidden="1" thickBot="1">
      <c r="B38" s="67" t="s">
        <v>668</v>
      </c>
      <c r="C38" s="65" t="s">
        <v>661</v>
      </c>
      <c r="D38" s="44"/>
      <c r="E38" s="174"/>
    </row>
    <row r="39" spans="2:5" ht="16.5" hidden="1" thickBot="1">
      <c r="B39" s="67" t="s">
        <v>799</v>
      </c>
      <c r="C39" s="65" t="s">
        <v>661</v>
      </c>
      <c r="D39" s="44"/>
      <c r="E39" s="174"/>
    </row>
    <row r="40" spans="2:5" ht="39.75" hidden="1" thickBot="1">
      <c r="B40" s="67" t="s">
        <v>670</v>
      </c>
      <c r="C40" s="64" t="s">
        <v>684</v>
      </c>
      <c r="D40" s="46"/>
      <c r="E40" s="240"/>
    </row>
    <row r="41" spans="2:5" ht="48" hidden="1" thickBot="1">
      <c r="B41" s="68" t="s">
        <v>800</v>
      </c>
      <c r="C41" s="65" t="s">
        <v>661</v>
      </c>
      <c r="D41" s="44"/>
      <c r="E41" s="174"/>
    </row>
    <row r="42" spans="2:5" ht="16.5" thickBot="1">
      <c r="B42" s="69" t="s">
        <v>685</v>
      </c>
      <c r="C42" s="212" t="s">
        <v>817</v>
      </c>
      <c r="D42" s="43" t="s">
        <v>801</v>
      </c>
      <c r="E42" s="231">
        <v>19562.18</v>
      </c>
    </row>
    <row r="43" spans="2:5" ht="32.25" hidden="1" thickBot="1">
      <c r="B43" s="70" t="s">
        <v>802</v>
      </c>
      <c r="C43" s="47"/>
      <c r="D43" s="44"/>
      <c r="E43" s="174"/>
    </row>
    <row r="44" spans="2:5" ht="20.25" thickBot="1">
      <c r="B44" s="14" t="s">
        <v>760</v>
      </c>
      <c r="C44" s="17"/>
      <c r="E44" s="241">
        <f>E60</f>
        <v>324356.29</v>
      </c>
    </row>
    <row r="45" spans="2:5" ht="15.75" thickBot="1">
      <c r="B45" s="150" t="s">
        <v>672</v>
      </c>
      <c r="C45" s="15" t="s">
        <v>920</v>
      </c>
      <c r="D45" s="49" t="s">
        <v>673</v>
      </c>
      <c r="E45" s="176" t="s">
        <v>793</v>
      </c>
    </row>
    <row r="46" spans="2:5" ht="14.25">
      <c r="B46" s="156" t="s">
        <v>816</v>
      </c>
      <c r="C46" s="74" t="s">
        <v>661</v>
      </c>
      <c r="D46" s="153"/>
      <c r="E46" s="177">
        <v>15530.24</v>
      </c>
    </row>
    <row r="47" spans="2:5" ht="14.25">
      <c r="B47" s="188" t="s">
        <v>928</v>
      </c>
      <c r="C47" s="74" t="s">
        <v>661</v>
      </c>
      <c r="D47" s="153"/>
      <c r="E47" s="177">
        <f>30249.5+2432.28</f>
        <v>32681.78</v>
      </c>
    </row>
    <row r="48" spans="2:5" ht="14.25">
      <c r="B48" s="188" t="s">
        <v>1015</v>
      </c>
      <c r="C48" s="74" t="s">
        <v>661</v>
      </c>
      <c r="D48" s="153"/>
      <c r="E48" s="177">
        <v>69412.64</v>
      </c>
    </row>
    <row r="49" spans="2:5" ht="14.25">
      <c r="B49" s="151" t="s">
        <v>676</v>
      </c>
      <c r="C49" s="116"/>
      <c r="D49" s="153"/>
      <c r="E49" s="177"/>
    </row>
    <row r="50" spans="2:5" ht="14.25">
      <c r="B50" s="157" t="s">
        <v>815</v>
      </c>
      <c r="C50" s="74" t="s">
        <v>661</v>
      </c>
      <c r="D50" s="153"/>
      <c r="E50" s="178">
        <v>20442.68</v>
      </c>
    </row>
    <row r="51" spans="2:5" ht="14.25">
      <c r="B51" s="132" t="s">
        <v>883</v>
      </c>
      <c r="C51" s="74" t="s">
        <v>661</v>
      </c>
      <c r="D51" s="153"/>
      <c r="E51" s="179">
        <f>117560.3+4952.78</f>
        <v>122513.08</v>
      </c>
    </row>
    <row r="52" spans="2:5" ht="14.25">
      <c r="B52" s="157" t="s">
        <v>880</v>
      </c>
      <c r="C52" s="74" t="s">
        <v>661</v>
      </c>
      <c r="D52" s="153"/>
      <c r="E52" s="179">
        <v>7280.81</v>
      </c>
    </row>
    <row r="53" spans="2:5" ht="14.25">
      <c r="B53" s="157" t="s">
        <v>925</v>
      </c>
      <c r="C53" s="74" t="s">
        <v>661</v>
      </c>
      <c r="D53" s="153"/>
      <c r="E53" s="180">
        <v>47064.55</v>
      </c>
    </row>
    <row r="54" spans="2:5" ht="15">
      <c r="B54" s="151" t="s">
        <v>682</v>
      </c>
      <c r="C54" s="118"/>
      <c r="D54" s="153"/>
      <c r="E54" s="191"/>
    </row>
    <row r="55" spans="2:5" ht="14.25">
      <c r="B55" s="159" t="s">
        <v>886</v>
      </c>
      <c r="C55" s="74" t="s">
        <v>661</v>
      </c>
      <c r="D55" s="153"/>
      <c r="E55" s="192">
        <v>623.57</v>
      </c>
    </row>
    <row r="56" spans="2:5" ht="14.25">
      <c r="B56" s="159" t="s">
        <v>888</v>
      </c>
      <c r="C56" s="74" t="s">
        <v>661</v>
      </c>
      <c r="D56" s="153"/>
      <c r="E56" s="192">
        <f>3032.66+348.43+571.92+3553.36</f>
        <v>7506.37</v>
      </c>
    </row>
    <row r="57" spans="2:5" ht="14.25">
      <c r="B57" s="159" t="s">
        <v>929</v>
      </c>
      <c r="C57" s="74" t="s">
        <v>661</v>
      </c>
      <c r="D57" s="153"/>
      <c r="E57" s="192">
        <v>1300.57</v>
      </c>
    </row>
    <row r="58" spans="2:5" ht="12.75">
      <c r="B58" s="27"/>
      <c r="C58" s="50"/>
      <c r="D58" s="13"/>
      <c r="E58" s="13"/>
    </row>
    <row r="59" spans="2:5" ht="12.75" hidden="1">
      <c r="B59" s="13"/>
      <c r="C59" s="13"/>
      <c r="D59" s="13"/>
      <c r="E59" s="13"/>
    </row>
    <row r="60" spans="2:5" ht="12.75" hidden="1">
      <c r="B60" s="117" t="s">
        <v>1014</v>
      </c>
      <c r="C60" s="13"/>
      <c r="D60" s="13"/>
      <c r="E60" s="13">
        <f>E46+E47+E48+E50+E51+E52+E53+E55+E56+E57</f>
        <v>324356.29</v>
      </c>
    </row>
    <row r="61" spans="2:5" ht="12.75">
      <c r="B61" s="103"/>
      <c r="C61" s="11"/>
      <c r="D61" s="11"/>
      <c r="E61" s="11"/>
    </row>
    <row r="62" spans="2:5" ht="12.75">
      <c r="B62" s="103"/>
      <c r="C62" s="11"/>
      <c r="D62" s="11"/>
      <c r="E62" s="11"/>
    </row>
    <row r="63" spans="2:5" ht="12.75">
      <c r="B63" s="103"/>
      <c r="C63" s="11"/>
      <c r="D63" s="11"/>
      <c r="E63" s="11"/>
    </row>
    <row r="64" spans="2:5" ht="12.75">
      <c r="B64" s="103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">
      <c r="B66" s="71"/>
      <c r="C66" s="11"/>
      <c r="D66" s="11"/>
      <c r="E66" s="11"/>
    </row>
    <row r="67" spans="2:3" ht="15.75">
      <c r="B67" s="6" t="s">
        <v>830</v>
      </c>
      <c r="C67" s="6" t="s">
        <v>889</v>
      </c>
    </row>
    <row r="68" ht="15.75">
      <c r="B68" s="6"/>
    </row>
  </sheetData>
  <sheetProtection/>
  <mergeCells count="13">
    <mergeCell ref="B7:C7"/>
    <mergeCell ref="B9:C10"/>
    <mergeCell ref="B19:E19"/>
    <mergeCell ref="B12:C12"/>
    <mergeCell ref="B13:C13"/>
    <mergeCell ref="B14:C14"/>
    <mergeCell ref="B15:C15"/>
    <mergeCell ref="B16:C16"/>
    <mergeCell ref="B18:E18"/>
    <mergeCell ref="B2:C2"/>
    <mergeCell ref="B3:C3"/>
    <mergeCell ref="B4:C4"/>
    <mergeCell ref="B5:C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99CC"/>
  </sheetPr>
  <dimension ref="A1:G132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1" spans="1:4" ht="14.25" hidden="1">
      <c r="A1" s="307" t="s">
        <v>232</v>
      </c>
      <c r="B1" s="298" t="s">
        <v>40</v>
      </c>
      <c r="C1" s="299">
        <v>1</v>
      </c>
      <c r="D1" s="302">
        <v>0</v>
      </c>
    </row>
    <row r="2" spans="1:4" ht="14.25" hidden="1">
      <c r="A2" s="307" t="s">
        <v>888</v>
      </c>
      <c r="B2" s="298"/>
      <c r="C2" s="299">
        <v>4</v>
      </c>
      <c r="D2" s="302">
        <v>0</v>
      </c>
    </row>
    <row r="3" spans="1:4" ht="14.25" hidden="1">
      <c r="A3" s="307" t="s">
        <v>54</v>
      </c>
      <c r="B3" s="298" t="s">
        <v>885</v>
      </c>
      <c r="C3" s="318">
        <v>1</v>
      </c>
      <c r="D3" s="302">
        <v>0</v>
      </c>
    </row>
    <row r="6" ht="12.75">
      <c r="D6" s="1" t="s">
        <v>792</v>
      </c>
    </row>
    <row r="7" spans="1:4" ht="22.5">
      <c r="A7" s="1331" t="s">
        <v>687</v>
      </c>
      <c r="B7" s="1331"/>
      <c r="C7" s="140"/>
      <c r="D7" s="140"/>
    </row>
    <row r="8" spans="1:4" ht="15.75">
      <c r="A8" s="1363" t="s">
        <v>803</v>
      </c>
      <c r="B8" s="1363"/>
      <c r="C8" s="91"/>
      <c r="D8" s="91"/>
    </row>
    <row r="9" spans="1:4" ht="15.75">
      <c r="A9" s="1363" t="s">
        <v>641</v>
      </c>
      <c r="B9" s="1363"/>
      <c r="C9" s="91"/>
      <c r="D9" s="91"/>
    </row>
    <row r="10" spans="1:4" ht="15.75">
      <c r="A10" s="1363" t="s">
        <v>804</v>
      </c>
      <c r="B10" s="1363"/>
      <c r="C10" s="91"/>
      <c r="D10" s="91"/>
    </row>
    <row r="11" spans="1:4" ht="15">
      <c r="A11" s="1343" t="s">
        <v>494</v>
      </c>
      <c r="B11" s="1343"/>
      <c r="C11" s="139"/>
      <c r="D11" s="139"/>
    </row>
    <row r="12" spans="1:4" ht="12.75" customHeight="1">
      <c r="A12" s="1366" t="s">
        <v>642</v>
      </c>
      <c r="B12" s="1367"/>
      <c r="C12" s="1366" t="s">
        <v>488</v>
      </c>
      <c r="D12" s="1367"/>
    </row>
    <row r="13" spans="1:4" ht="12.75">
      <c r="A13" s="1368"/>
      <c r="B13" s="1369"/>
      <c r="C13" s="1368"/>
      <c r="D13" s="1369"/>
    </row>
    <row r="14" spans="1:4" ht="15">
      <c r="A14" s="372" t="s">
        <v>347</v>
      </c>
      <c r="B14" s="472"/>
      <c r="C14" s="1308">
        <v>116719.67</v>
      </c>
      <c r="D14" s="1309"/>
    </row>
    <row r="15" spans="1:4" ht="14.25">
      <c r="A15" s="471" t="s">
        <v>486</v>
      </c>
      <c r="B15" s="473"/>
      <c r="C15" s="1375">
        <v>664723.68</v>
      </c>
      <c r="D15" s="1376"/>
    </row>
    <row r="16" spans="1:4" ht="14.25">
      <c r="A16" s="470" t="s">
        <v>647</v>
      </c>
      <c r="B16" s="474"/>
      <c r="C16" s="1312">
        <v>655877.56</v>
      </c>
      <c r="D16" s="1313"/>
    </row>
    <row r="17" spans="1:7" ht="15">
      <c r="A17" s="475" t="s">
        <v>348</v>
      </c>
      <c r="B17" s="476"/>
      <c r="C17" s="1377">
        <f>C14+C15-C16</f>
        <v>125565.79000000004</v>
      </c>
      <c r="D17" s="1378"/>
      <c r="G17" s="111"/>
    </row>
    <row r="18" spans="1:4" ht="14.25">
      <c r="A18" s="470" t="s">
        <v>539</v>
      </c>
      <c r="B18" s="474"/>
      <c r="C18" s="1407">
        <v>599796.36</v>
      </c>
      <c r="D18" s="1408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26.25" thickBot="1">
      <c r="A21" s="501" t="s">
        <v>892</v>
      </c>
      <c r="B21" s="502" t="s">
        <v>667</v>
      </c>
      <c r="C21" s="499" t="s">
        <v>673</v>
      </c>
      <c r="D21" s="503" t="s">
        <v>793</v>
      </c>
    </row>
    <row r="22" spans="1:4" ht="16.5" thickBot="1">
      <c r="A22" s="477" t="s">
        <v>913</v>
      </c>
      <c r="B22" s="504"/>
      <c r="C22" s="456"/>
      <c r="D22" s="685"/>
    </row>
    <row r="23" spans="1:4" ht="26.25">
      <c r="A23" s="478" t="s">
        <v>105</v>
      </c>
      <c r="B23" s="517" t="s">
        <v>652</v>
      </c>
      <c r="C23" s="500"/>
      <c r="D23" s="518">
        <v>118462.16</v>
      </c>
    </row>
    <row r="24" spans="1:6" ht="21" customHeight="1">
      <c r="A24" s="492" t="s">
        <v>654</v>
      </c>
      <c r="B24" s="398" t="s">
        <v>656</v>
      </c>
      <c r="C24" s="398" t="s">
        <v>801</v>
      </c>
      <c r="D24" s="509">
        <v>69404.94</v>
      </c>
      <c r="F24" t="s">
        <v>465</v>
      </c>
    </row>
    <row r="25" spans="1:4" ht="24.75">
      <c r="A25" s="686" t="s">
        <v>14</v>
      </c>
      <c r="B25" s="397" t="s">
        <v>657</v>
      </c>
      <c r="C25" s="506"/>
      <c r="D25" s="507">
        <v>86765.16</v>
      </c>
    </row>
    <row r="26" spans="1:4" ht="15">
      <c r="A26" s="478" t="s">
        <v>210</v>
      </c>
      <c r="B26" s="399"/>
      <c r="C26" s="508"/>
      <c r="D26" s="509">
        <v>9857.71</v>
      </c>
    </row>
    <row r="27" spans="1:4" ht="15.75" thickBot="1">
      <c r="A27" s="510" t="s">
        <v>799</v>
      </c>
      <c r="B27" s="609"/>
      <c r="C27" s="610"/>
      <c r="D27" s="595">
        <v>17378.6</v>
      </c>
    </row>
    <row r="28" spans="1:6" ht="16.5" customHeight="1" thickBot="1">
      <c r="A28" s="805" t="s">
        <v>701</v>
      </c>
      <c r="B28" s="980"/>
      <c r="C28" s="981"/>
      <c r="D28" s="839">
        <v>301868.57</v>
      </c>
      <c r="F28" t="s">
        <v>465</v>
      </c>
    </row>
    <row r="29" spans="1:4" ht="15.75" thickBot="1">
      <c r="A29" s="487" t="s">
        <v>914</v>
      </c>
      <c r="B29" s="461"/>
      <c r="C29" s="462"/>
      <c r="D29" s="463"/>
    </row>
    <row r="30" spans="1:4" ht="24">
      <c r="A30" s="1144" t="s">
        <v>194</v>
      </c>
      <c r="B30" s="751" t="s">
        <v>920</v>
      </c>
      <c r="C30" s="752" t="s">
        <v>673</v>
      </c>
      <c r="D30" s="753" t="s">
        <v>793</v>
      </c>
    </row>
    <row r="31" spans="1:4" ht="15">
      <c r="A31" s="383" t="s">
        <v>11</v>
      </c>
      <c r="B31" s="514"/>
      <c r="C31" s="515"/>
      <c r="D31" s="434">
        <v>11739.53</v>
      </c>
    </row>
    <row r="32" spans="1:4" ht="28.5">
      <c r="A32" s="546" t="s">
        <v>129</v>
      </c>
      <c r="B32" s="433" t="s">
        <v>40</v>
      </c>
      <c r="C32" s="443">
        <v>1</v>
      </c>
      <c r="D32" s="434">
        <v>1481.68</v>
      </c>
    </row>
    <row r="33" spans="1:4" ht="15">
      <c r="A33" s="383" t="s">
        <v>128</v>
      </c>
      <c r="B33" s="514"/>
      <c r="C33" s="443">
        <v>1</v>
      </c>
      <c r="D33" s="434">
        <v>2642.93</v>
      </c>
    </row>
    <row r="34" spans="1:4" ht="15">
      <c r="A34" s="383" t="s">
        <v>60</v>
      </c>
      <c r="B34" s="433" t="s">
        <v>40</v>
      </c>
      <c r="C34" s="443">
        <v>1</v>
      </c>
      <c r="D34" s="434">
        <v>3759.24</v>
      </c>
    </row>
    <row r="35" spans="1:4" ht="15.75" thickBot="1">
      <c r="A35" s="843" t="s">
        <v>127</v>
      </c>
      <c r="B35" s="923"/>
      <c r="C35" s="432">
        <v>2</v>
      </c>
      <c r="D35" s="1064">
        <v>17411.4</v>
      </c>
    </row>
    <row r="36" spans="1:4" ht="15.75" thickBot="1">
      <c r="A36" s="806" t="s">
        <v>701</v>
      </c>
      <c r="B36" s="957"/>
      <c r="C36" s="1013"/>
      <c r="D36" s="863">
        <v>37034.78</v>
      </c>
    </row>
    <row r="37" spans="1:4" ht="15">
      <c r="A37" s="808" t="s">
        <v>457</v>
      </c>
      <c r="B37" s="376"/>
      <c r="C37" s="377"/>
      <c r="D37" s="441"/>
    </row>
    <row r="38" spans="1:4" ht="15">
      <c r="A38" s="359" t="s">
        <v>225</v>
      </c>
      <c r="B38" s="358" t="s">
        <v>52</v>
      </c>
      <c r="C38" s="359">
        <v>3</v>
      </c>
      <c r="D38" s="421">
        <v>13832.4</v>
      </c>
    </row>
    <row r="39" spans="1:4" ht="15">
      <c r="A39" s="359" t="s">
        <v>132</v>
      </c>
      <c r="B39" s="358" t="s">
        <v>40</v>
      </c>
      <c r="C39" s="359">
        <v>2</v>
      </c>
      <c r="D39" s="421">
        <v>3304.42</v>
      </c>
    </row>
    <row r="40" spans="1:4" ht="15">
      <c r="A40" s="359" t="s">
        <v>299</v>
      </c>
      <c r="B40" s="358" t="s">
        <v>40</v>
      </c>
      <c r="C40" s="359">
        <v>1</v>
      </c>
      <c r="D40" s="421">
        <v>239.38</v>
      </c>
    </row>
    <row r="41" spans="1:4" ht="15">
      <c r="A41" s="359" t="s">
        <v>130</v>
      </c>
      <c r="B41" s="358" t="s">
        <v>40</v>
      </c>
      <c r="C41" s="359">
        <v>1</v>
      </c>
      <c r="D41" s="421">
        <v>91.7</v>
      </c>
    </row>
    <row r="42" spans="1:4" ht="15">
      <c r="A42" s="359" t="s">
        <v>131</v>
      </c>
      <c r="B42" s="363"/>
      <c r="C42" s="359">
        <v>7</v>
      </c>
      <c r="D42" s="421">
        <v>6242.44</v>
      </c>
    </row>
    <row r="43" spans="1:4" ht="15.75" thickBot="1">
      <c r="A43" s="807" t="s">
        <v>64</v>
      </c>
      <c r="B43" s="934" t="s">
        <v>427</v>
      </c>
      <c r="C43" s="1014">
        <v>1</v>
      </c>
      <c r="D43" s="424">
        <v>5022.19</v>
      </c>
    </row>
    <row r="44" spans="1:4" ht="15">
      <c r="A44" s="879" t="s">
        <v>701</v>
      </c>
      <c r="B44" s="953"/>
      <c r="C44" s="925"/>
      <c r="D44" s="941">
        <v>28732.53</v>
      </c>
    </row>
    <row r="45" spans="1:4" ht="15">
      <c r="A45" s="944" t="s">
        <v>780</v>
      </c>
      <c r="B45" s="365"/>
      <c r="C45" s="363">
        <v>1</v>
      </c>
      <c r="D45" s="421"/>
    </row>
    <row r="46" spans="1:4" ht="15">
      <c r="A46" s="359" t="s">
        <v>727</v>
      </c>
      <c r="B46" s="365"/>
      <c r="C46" s="363">
        <v>4</v>
      </c>
      <c r="D46" s="421">
        <v>2202.26</v>
      </c>
    </row>
    <row r="47" spans="1:4" ht="15">
      <c r="A47" s="359" t="s">
        <v>133</v>
      </c>
      <c r="B47" s="365" t="s">
        <v>52</v>
      </c>
      <c r="C47" s="363">
        <v>1</v>
      </c>
      <c r="D47" s="421">
        <v>4522</v>
      </c>
    </row>
    <row r="48" spans="1:4" ht="15">
      <c r="A48" s="799" t="s">
        <v>174</v>
      </c>
      <c r="B48" s="834" t="s">
        <v>40</v>
      </c>
      <c r="C48" s="1016">
        <v>2</v>
      </c>
      <c r="D48" s="896">
        <v>2251.25</v>
      </c>
    </row>
    <row r="49" spans="1:4" ht="15.75" thickBot="1">
      <c r="A49" s="807" t="s">
        <v>75</v>
      </c>
      <c r="B49" s="758" t="s">
        <v>211</v>
      </c>
      <c r="C49" s="807">
        <v>3</v>
      </c>
      <c r="D49" s="425">
        <v>10603.78</v>
      </c>
    </row>
    <row r="50" spans="1:4" ht="15.75" thickBot="1">
      <c r="A50" s="806" t="s">
        <v>701</v>
      </c>
      <c r="B50" s="825"/>
      <c r="C50" s="1013"/>
      <c r="D50" s="533">
        <v>19579.29</v>
      </c>
    </row>
    <row r="51" spans="1:4" ht="15">
      <c r="A51" s="938" t="s">
        <v>361</v>
      </c>
      <c r="B51" s="1145"/>
      <c r="C51" s="1016"/>
      <c r="D51" s="810"/>
    </row>
    <row r="52" spans="1:4" ht="15">
      <c r="A52" s="359" t="s">
        <v>479</v>
      </c>
      <c r="B52" s="365" t="s">
        <v>52</v>
      </c>
      <c r="C52" s="363">
        <v>2</v>
      </c>
      <c r="D52" s="532">
        <v>1601.31</v>
      </c>
    </row>
    <row r="53" spans="1:4" ht="15">
      <c r="A53" s="359" t="s">
        <v>882</v>
      </c>
      <c r="B53" s="365"/>
      <c r="C53" s="363">
        <v>5</v>
      </c>
      <c r="D53" s="532">
        <v>5940.08</v>
      </c>
    </row>
    <row r="54" spans="1:4" ht="15">
      <c r="A54" s="359" t="s">
        <v>212</v>
      </c>
      <c r="B54" s="365" t="s">
        <v>81</v>
      </c>
      <c r="C54" s="363">
        <v>1</v>
      </c>
      <c r="D54" s="532">
        <v>830.08</v>
      </c>
    </row>
    <row r="55" spans="1:4" ht="15">
      <c r="A55" s="359" t="s">
        <v>748</v>
      </c>
      <c r="B55" s="365" t="s">
        <v>211</v>
      </c>
      <c r="C55" s="363">
        <v>1</v>
      </c>
      <c r="D55" s="532">
        <v>11729</v>
      </c>
    </row>
    <row r="56" spans="1:4" ht="15.75" thickBot="1">
      <c r="A56" s="807" t="s">
        <v>126</v>
      </c>
      <c r="B56" s="758" t="s">
        <v>211</v>
      </c>
      <c r="C56" s="807">
        <v>1</v>
      </c>
      <c r="D56" s="424">
        <v>5974</v>
      </c>
    </row>
    <row r="57" spans="1:4" ht="15.75" thickBot="1">
      <c r="A57" s="806" t="s">
        <v>701</v>
      </c>
      <c r="B57" s="811"/>
      <c r="C57" s="1013"/>
      <c r="D57" s="841">
        <v>26074.47</v>
      </c>
    </row>
    <row r="58" spans="1:4" ht="15">
      <c r="A58" s="938" t="s">
        <v>362</v>
      </c>
      <c r="B58" s="834"/>
      <c r="C58" s="799"/>
      <c r="D58" s="896"/>
    </row>
    <row r="59" spans="1:4" ht="15">
      <c r="A59" s="359" t="s">
        <v>318</v>
      </c>
      <c r="B59" s="365" t="s">
        <v>211</v>
      </c>
      <c r="C59" s="359">
        <v>2</v>
      </c>
      <c r="D59" s="421">
        <v>4653.37</v>
      </c>
    </row>
    <row r="60" spans="1:4" ht="15">
      <c r="A60" s="359" t="s">
        <v>221</v>
      </c>
      <c r="B60" s="365" t="s">
        <v>40</v>
      </c>
      <c r="C60" s="359">
        <v>1</v>
      </c>
      <c r="D60" s="421">
        <v>1642.24</v>
      </c>
    </row>
    <row r="61" spans="1:4" ht="15.75" thickBot="1">
      <c r="A61" s="807" t="s">
        <v>695</v>
      </c>
      <c r="B61" s="758"/>
      <c r="C61" s="807">
        <v>3</v>
      </c>
      <c r="D61" s="425">
        <v>1924.28</v>
      </c>
    </row>
    <row r="62" spans="1:4" ht="15.75" thickBot="1">
      <c r="A62" s="806" t="s">
        <v>701</v>
      </c>
      <c r="B62" s="811"/>
      <c r="C62" s="1013"/>
      <c r="D62" s="841">
        <v>8219.89</v>
      </c>
    </row>
    <row r="63" spans="1:4" ht="15">
      <c r="A63" s="808" t="s">
        <v>386</v>
      </c>
      <c r="B63" s="570"/>
      <c r="C63" s="382"/>
      <c r="D63" s="947"/>
    </row>
    <row r="64" spans="1:4" ht="15">
      <c r="A64" s="359" t="s">
        <v>782</v>
      </c>
      <c r="B64" s="365"/>
      <c r="C64" s="358">
        <v>5</v>
      </c>
      <c r="D64" s="532">
        <v>7395.66</v>
      </c>
    </row>
    <row r="65" spans="1:4" ht="15.75" thickBot="1">
      <c r="A65" s="799" t="s">
        <v>886</v>
      </c>
      <c r="B65" s="834" t="s">
        <v>40</v>
      </c>
      <c r="C65" s="964">
        <v>3</v>
      </c>
      <c r="D65" s="810">
        <v>1870.55</v>
      </c>
    </row>
    <row r="66" spans="1:4" ht="15.75" thickBot="1">
      <c r="A66" s="806" t="s">
        <v>701</v>
      </c>
      <c r="B66" s="811"/>
      <c r="C66" s="1021"/>
      <c r="D66" s="806">
        <v>9266.21</v>
      </c>
    </row>
    <row r="67" spans="1:4" ht="15.75" thickBot="1">
      <c r="A67" s="938"/>
      <c r="B67" s="834"/>
      <c r="C67" s="964"/>
      <c r="D67" s="810"/>
    </row>
    <row r="68" spans="1:4" ht="15.75" thickBot="1">
      <c r="A68" s="806" t="s">
        <v>375</v>
      </c>
      <c r="B68" s="811"/>
      <c r="C68" s="1021"/>
      <c r="D68" s="533">
        <v>128907.17</v>
      </c>
    </row>
    <row r="69" spans="1:4" ht="15">
      <c r="A69" s="808"/>
      <c r="B69" s="570"/>
      <c r="C69" s="382"/>
      <c r="D69" s="1146"/>
    </row>
    <row r="70" spans="1:4" ht="15">
      <c r="A70" s="808" t="s">
        <v>453</v>
      </c>
      <c r="B70" s="570"/>
      <c r="C70" s="382"/>
      <c r="D70" s="1146">
        <v>25700.17</v>
      </c>
    </row>
    <row r="71" spans="1:4" ht="15">
      <c r="A71" s="944" t="s">
        <v>904</v>
      </c>
      <c r="B71" s="365"/>
      <c r="C71" s="358"/>
      <c r="D71" s="891">
        <v>32546.59</v>
      </c>
    </row>
    <row r="72" spans="1:4" ht="14.25">
      <c r="A72" s="465" t="s">
        <v>735</v>
      </c>
      <c r="B72" s="757"/>
      <c r="C72" s="369"/>
      <c r="D72" s="428">
        <v>110773.86</v>
      </c>
    </row>
    <row r="73" spans="1:4" ht="15.75" thickBot="1">
      <c r="A73" s="526"/>
      <c r="B73" s="934"/>
      <c r="C73" s="519"/>
      <c r="D73" s="541"/>
    </row>
    <row r="74" spans="1:4" ht="15.75" thickBot="1">
      <c r="A74" s="806" t="s">
        <v>36</v>
      </c>
      <c r="B74" s="957"/>
      <c r="C74" s="1024"/>
      <c r="D74" s="858">
        <v>599796.36</v>
      </c>
    </row>
    <row r="75" spans="1:4" ht="14.25">
      <c r="A75" s="764"/>
      <c r="B75" s="358"/>
      <c r="C75" s="359"/>
      <c r="D75" s="1262"/>
    </row>
    <row r="76" spans="1:4" ht="15">
      <c r="A76" s="1251" t="s">
        <v>568</v>
      </c>
      <c r="B76" s="1257"/>
      <c r="C76" s="467"/>
      <c r="D76" s="467">
        <v>0</v>
      </c>
    </row>
    <row r="77" spans="1:4" ht="15">
      <c r="A77" s="1332" t="s">
        <v>569</v>
      </c>
      <c r="B77" s="1332"/>
      <c r="C77" s="628"/>
      <c r="D77" s="608">
        <v>655877.56</v>
      </c>
    </row>
    <row r="78" spans="1:4" ht="15">
      <c r="A78" s="1332" t="s">
        <v>570</v>
      </c>
      <c r="B78" s="1332"/>
      <c r="C78" s="607"/>
      <c r="D78" s="608">
        <v>599796.36</v>
      </c>
    </row>
    <row r="79" spans="1:4" ht="15">
      <c r="A79" s="1333" t="s">
        <v>571</v>
      </c>
      <c r="B79" s="1333"/>
      <c r="C79" s="629"/>
      <c r="D79" s="629">
        <v>-56081.2</v>
      </c>
    </row>
    <row r="80" spans="1:4" ht="15">
      <c r="A80" s="1332" t="s">
        <v>179</v>
      </c>
      <c r="B80" s="1332"/>
      <c r="C80" s="1258"/>
      <c r="D80" s="630">
        <v>-56081.2</v>
      </c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 t="s">
        <v>180</v>
      </c>
      <c r="B84" s="538"/>
      <c r="C84" s="1259" t="s">
        <v>573</v>
      </c>
      <c r="D84" s="1260"/>
    </row>
    <row r="85" spans="1:4" ht="15">
      <c r="A85" s="538"/>
      <c r="B85" s="538"/>
      <c r="C85" s="1259"/>
      <c r="D85" s="1260"/>
    </row>
    <row r="86" ht="12.75">
      <c r="A86" s="735" t="s">
        <v>357</v>
      </c>
    </row>
    <row r="87" ht="12.75">
      <c r="A87" s="735" t="s">
        <v>906</v>
      </c>
    </row>
    <row r="88" ht="12.75">
      <c r="A88" s="735" t="s">
        <v>358</v>
      </c>
    </row>
    <row r="102" ht="3" customHeight="1"/>
    <row r="105" ht="12.75" hidden="1"/>
    <row r="130" ht="12.75">
      <c r="A130" s="735"/>
    </row>
    <row r="131" ht="12.75">
      <c r="A131" s="735"/>
    </row>
    <row r="132" ht="12.75">
      <c r="A132" s="735"/>
    </row>
  </sheetData>
  <sheetProtection/>
  <mergeCells count="18">
    <mergeCell ref="A11:B11"/>
    <mergeCell ref="A12:B13"/>
    <mergeCell ref="A7:B7"/>
    <mergeCell ref="A8:B8"/>
    <mergeCell ref="A9:B9"/>
    <mergeCell ref="A10:B10"/>
    <mergeCell ref="C12:D13"/>
    <mergeCell ref="C14:D14"/>
    <mergeCell ref="A19:D19"/>
    <mergeCell ref="A20:D20"/>
    <mergeCell ref="C15:D15"/>
    <mergeCell ref="C16:D16"/>
    <mergeCell ref="C17:D17"/>
    <mergeCell ref="C18:D18"/>
    <mergeCell ref="A77:B77"/>
    <mergeCell ref="A78:B78"/>
    <mergeCell ref="A79:B79"/>
    <mergeCell ref="A80:B80"/>
  </mergeCells>
  <printOptions/>
  <pageMargins left="0.1968503937007874" right="0" top="0.1968503937007874" bottom="0" header="0.31496062992125984" footer="0.31496062992125984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4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71093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836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88">
        <f>243382.08+760.28</f>
        <v>244142.36</v>
      </c>
      <c r="E11" s="88">
        <v>27568.06</v>
      </c>
    </row>
    <row r="12" spans="2:5" ht="16.5" thickBot="1">
      <c r="B12" s="1398" t="s">
        <v>646</v>
      </c>
      <c r="C12" s="1399"/>
      <c r="D12" s="76">
        <f>2543093.92+5530.56</f>
        <v>2548624.48</v>
      </c>
      <c r="E12" s="58">
        <v>63205.14</v>
      </c>
    </row>
    <row r="13" spans="2:5" ht="16.5" thickBot="1">
      <c r="B13" s="1398" t="s">
        <v>647</v>
      </c>
      <c r="C13" s="1399"/>
      <c r="D13" s="58">
        <f>2441936.72+6080</f>
        <v>2448016.72</v>
      </c>
      <c r="E13" s="58">
        <v>86385.25</v>
      </c>
    </row>
    <row r="14" spans="2:5" ht="16.5" hidden="1" thickBot="1">
      <c r="B14" s="1398" t="s">
        <v>666</v>
      </c>
      <c r="C14" s="1399"/>
      <c r="D14" s="58"/>
      <c r="E14" s="58"/>
    </row>
    <row r="15" spans="2:5" ht="16.5" thickBot="1">
      <c r="B15" s="1341" t="s">
        <v>46</v>
      </c>
      <c r="C15" s="1342"/>
      <c r="D15" s="58">
        <v>70073.64</v>
      </c>
      <c r="E15" s="58"/>
    </row>
    <row r="16" spans="2:5" ht="16.5" thickBot="1">
      <c r="B16" s="1341" t="s">
        <v>47</v>
      </c>
      <c r="C16" s="1342"/>
      <c r="D16" s="58"/>
      <c r="E16" s="58"/>
    </row>
    <row r="17" spans="2:5" ht="16.5" thickBot="1">
      <c r="B17" s="1398" t="s">
        <v>648</v>
      </c>
      <c r="C17" s="1399"/>
      <c r="D17" s="58">
        <f>D11+D12-D13</f>
        <v>344750.11999999965</v>
      </c>
      <c r="E17" s="58">
        <f>E11+E12-E13</f>
        <v>4387.949999999997</v>
      </c>
    </row>
    <row r="18" spans="2:5" ht="16.5" thickBot="1">
      <c r="B18" s="1398" t="s">
        <v>806</v>
      </c>
      <c r="C18" s="1399"/>
      <c r="D18" s="243">
        <f>E24+E63</f>
        <v>2367723.59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E25+E31+E33+E34+E35+E36+E46</f>
        <v>1778925.96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252404.48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170867.84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1018</v>
      </c>
      <c r="C33" s="64" t="s">
        <v>652</v>
      </c>
      <c r="D33" s="44"/>
      <c r="E33" s="244">
        <v>62528.41</v>
      </c>
    </row>
    <row r="34" spans="2:5" ht="16.5" thickBot="1">
      <c r="B34" s="67" t="s">
        <v>1017</v>
      </c>
      <c r="C34" s="48" t="s">
        <v>656</v>
      </c>
      <c r="D34" s="44"/>
      <c r="E34" s="244">
        <v>1006899.61</v>
      </c>
    </row>
    <row r="35" spans="2:5" ht="27" thickBot="1">
      <c r="B35" s="67" t="s">
        <v>658</v>
      </c>
      <c r="C35" s="64" t="s">
        <v>657</v>
      </c>
      <c r="D35" s="43"/>
      <c r="E35" s="230">
        <v>243653.05</v>
      </c>
    </row>
    <row r="36" spans="2:5" ht="16.5" thickBot="1">
      <c r="B36" s="67" t="s">
        <v>931</v>
      </c>
      <c r="C36" s="64" t="s">
        <v>661</v>
      </c>
      <c r="D36" s="43"/>
      <c r="E36" s="230">
        <v>4517.74</v>
      </c>
    </row>
    <row r="37" spans="2:5" ht="16.5" hidden="1" thickBot="1">
      <c r="B37" s="68" t="s">
        <v>758</v>
      </c>
      <c r="C37" s="64" t="s">
        <v>665</v>
      </c>
      <c r="D37" s="43"/>
      <c r="E37" s="238"/>
    </row>
    <row r="38" spans="2:5" ht="32.25" hidden="1" thickBot="1">
      <c r="B38" s="67" t="s">
        <v>664</v>
      </c>
      <c r="C38" s="65" t="s">
        <v>661</v>
      </c>
      <c r="D38" s="44"/>
      <c r="E38" s="174"/>
    </row>
    <row r="39" spans="2:5" ht="32.25" hidden="1" thickBot="1">
      <c r="B39" s="67" t="s">
        <v>671</v>
      </c>
      <c r="C39" s="65" t="s">
        <v>661</v>
      </c>
      <c r="D39" s="72"/>
      <c r="E39" s="239"/>
    </row>
    <row r="40" spans="2:5" ht="78.75" hidden="1" thickBot="1">
      <c r="B40" s="36" t="s">
        <v>790</v>
      </c>
      <c r="C40" s="65" t="s">
        <v>661</v>
      </c>
      <c r="D40" s="44"/>
      <c r="E40" s="174"/>
    </row>
    <row r="41" spans="2:5" ht="48" hidden="1" thickBot="1">
      <c r="B41" s="67" t="s">
        <v>767</v>
      </c>
      <c r="C41" s="64" t="s">
        <v>766</v>
      </c>
      <c r="D41" s="43"/>
      <c r="E41" s="238"/>
    </row>
    <row r="42" spans="2:5" ht="32.25" hidden="1" thickBot="1">
      <c r="B42" s="67" t="s">
        <v>668</v>
      </c>
      <c r="C42" s="65" t="s">
        <v>661</v>
      </c>
      <c r="D42" s="44"/>
      <c r="E42" s="174"/>
    </row>
    <row r="43" spans="2:5" ht="16.5" hidden="1" thickBot="1">
      <c r="B43" s="67" t="s">
        <v>799</v>
      </c>
      <c r="C43" s="65" t="s">
        <v>661</v>
      </c>
      <c r="D43" s="44"/>
      <c r="E43" s="174"/>
    </row>
    <row r="44" spans="2:5" ht="39.75" hidden="1" thickBot="1">
      <c r="B44" s="67" t="s">
        <v>670</v>
      </c>
      <c r="C44" s="64" t="s">
        <v>684</v>
      </c>
      <c r="D44" s="46"/>
      <c r="E44" s="240"/>
    </row>
    <row r="45" spans="2:5" ht="48" hidden="1" thickBot="1">
      <c r="B45" s="68" t="s">
        <v>800</v>
      </c>
      <c r="C45" s="65" t="s">
        <v>661</v>
      </c>
      <c r="D45" s="44"/>
      <c r="E45" s="174"/>
    </row>
    <row r="46" spans="2:5" ht="16.5" thickBot="1">
      <c r="B46" s="69" t="s">
        <v>685</v>
      </c>
      <c r="C46" s="212" t="s">
        <v>817</v>
      </c>
      <c r="D46" s="43" t="s">
        <v>801</v>
      </c>
      <c r="E46" s="231">
        <v>38054.83</v>
      </c>
    </row>
    <row r="47" spans="2:5" ht="20.25" thickBot="1">
      <c r="B47" s="14" t="s">
        <v>760</v>
      </c>
      <c r="C47" s="17"/>
      <c r="E47" s="87"/>
    </row>
    <row r="48" spans="2:5" ht="15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4.25">
      <c r="B49" s="156" t="s">
        <v>816</v>
      </c>
      <c r="C49" s="74" t="s">
        <v>661</v>
      </c>
      <c r="D49" s="153"/>
      <c r="E49" s="177">
        <v>9243.79</v>
      </c>
    </row>
    <row r="50" spans="2:5" ht="14.25">
      <c r="B50" s="188" t="s">
        <v>928</v>
      </c>
      <c r="C50" s="74" t="s">
        <v>661</v>
      </c>
      <c r="D50" s="153"/>
      <c r="E50" s="177">
        <f>585.99+18282.34</f>
        <v>18868.33</v>
      </c>
    </row>
    <row r="51" spans="2:5" ht="14.25">
      <c r="B51" s="188" t="s">
        <v>1016</v>
      </c>
      <c r="C51" s="74" t="s">
        <v>661</v>
      </c>
      <c r="D51" s="153"/>
      <c r="E51" s="177">
        <v>223821.89</v>
      </c>
    </row>
    <row r="52" spans="2:5" ht="14.25">
      <c r="B52" s="151" t="s">
        <v>676</v>
      </c>
      <c r="C52" s="116"/>
      <c r="D52" s="153"/>
      <c r="E52" s="177"/>
    </row>
    <row r="53" spans="2:5" ht="14.25">
      <c r="B53" s="157" t="s">
        <v>815</v>
      </c>
      <c r="C53" s="74" t="s">
        <v>661</v>
      </c>
      <c r="D53" s="153"/>
      <c r="E53" s="178">
        <v>26911.14</v>
      </c>
    </row>
    <row r="54" spans="2:5" ht="14.25">
      <c r="B54" s="132" t="s">
        <v>883</v>
      </c>
      <c r="C54" s="74" t="s">
        <v>661</v>
      </c>
      <c r="D54" s="153"/>
      <c r="E54" s="179">
        <f>90478.94+11732.45</f>
        <v>102211.39</v>
      </c>
    </row>
    <row r="55" spans="2:5" ht="14.25">
      <c r="B55" s="157" t="s">
        <v>880</v>
      </c>
      <c r="C55" s="74" t="s">
        <v>661</v>
      </c>
      <c r="D55" s="153"/>
      <c r="E55" s="179">
        <v>10497.34</v>
      </c>
    </row>
    <row r="56" spans="2:5" ht="14.25">
      <c r="B56" s="157" t="s">
        <v>925</v>
      </c>
      <c r="C56" s="74" t="s">
        <v>661</v>
      </c>
      <c r="D56" s="153"/>
      <c r="E56" s="180">
        <v>57530.56</v>
      </c>
    </row>
    <row r="57" spans="2:5" ht="15">
      <c r="B57" s="151" t="s">
        <v>682</v>
      </c>
      <c r="C57" s="118"/>
      <c r="D57" s="153"/>
      <c r="E57" s="191"/>
    </row>
    <row r="58" spans="2:5" ht="15">
      <c r="B58" s="159" t="s">
        <v>884</v>
      </c>
      <c r="C58" s="74" t="s">
        <v>661</v>
      </c>
      <c r="D58" s="153"/>
      <c r="E58" s="191">
        <v>113633.09</v>
      </c>
    </row>
    <row r="59" spans="2:5" ht="14.25">
      <c r="B59" s="159" t="s">
        <v>888</v>
      </c>
      <c r="C59" s="74" t="s">
        <v>661</v>
      </c>
      <c r="D59" s="153"/>
      <c r="E59" s="192">
        <f>12015.02+265.37+935.3+777.82+3322.06+3415.99+1567.94+1250.57</f>
        <v>23550.069999999996</v>
      </c>
    </row>
    <row r="60" spans="2:5" ht="14.25">
      <c r="B60" s="159" t="s">
        <v>929</v>
      </c>
      <c r="C60" s="74" t="s">
        <v>661</v>
      </c>
      <c r="D60" s="153"/>
      <c r="E60" s="192">
        <v>2530.03</v>
      </c>
    </row>
    <row r="61" spans="2:5" ht="12.75" hidden="1">
      <c r="B61" s="27"/>
      <c r="C61" s="50"/>
      <c r="D61" s="13"/>
      <c r="E61" s="85"/>
    </row>
    <row r="62" spans="2:5" ht="12.75" hidden="1">
      <c r="B62" s="13"/>
      <c r="C62" s="13"/>
      <c r="D62" s="13"/>
      <c r="E62" s="85"/>
    </row>
    <row r="63" spans="2:5" ht="12.75" hidden="1">
      <c r="B63" s="117" t="s">
        <v>1014</v>
      </c>
      <c r="C63" s="13"/>
      <c r="D63" s="13"/>
      <c r="E63" s="85">
        <f>E49+E50+E51+E53+E54+E55+E56+E59+E60+E58</f>
        <v>588797.6300000001</v>
      </c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11"/>
    </row>
    <row r="66" spans="2:5" ht="12.75">
      <c r="B66" s="103"/>
      <c r="C66" s="11"/>
      <c r="D66" s="11"/>
      <c r="E66" s="11"/>
    </row>
    <row r="67" spans="2:5" ht="12.75">
      <c r="B67" s="103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5">
      <c r="B69" s="71"/>
      <c r="C69" s="11"/>
      <c r="D69" s="11"/>
      <c r="E69" s="11"/>
    </row>
    <row r="70" spans="2:3" ht="15.75">
      <c r="B70" s="6" t="s">
        <v>830</v>
      </c>
      <c r="C70" s="6" t="s">
        <v>889</v>
      </c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5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938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110.44+113074.98</f>
        <v>113185.42</v>
      </c>
      <c r="D11" s="136">
        <v>25177.17</v>
      </c>
    </row>
    <row r="12" spans="1:4" ht="15.75" thickBot="1">
      <c r="A12" s="1341" t="s">
        <v>646</v>
      </c>
      <c r="B12" s="1342"/>
      <c r="C12" s="137">
        <f>722.88+998360.64</f>
        <v>999083.52</v>
      </c>
      <c r="D12" s="136">
        <v>52653.92</v>
      </c>
    </row>
    <row r="13" spans="1:4" ht="15.75" thickBot="1">
      <c r="A13" s="1341" t="s">
        <v>647</v>
      </c>
      <c r="B13" s="1342"/>
      <c r="C13" s="135">
        <f>833.32+963952.52</f>
        <v>964785.84</v>
      </c>
      <c r="D13" s="136">
        <v>73185.55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12274.68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147483.09999999998</v>
      </c>
      <c r="D17" s="136">
        <f>D11+D12-D13</f>
        <v>4645.539999999994</v>
      </c>
    </row>
    <row r="18" spans="1:4" ht="15.75" thickBot="1">
      <c r="A18" s="1341" t="s">
        <v>806</v>
      </c>
      <c r="B18" s="1342"/>
      <c r="C18" s="170">
        <f>D24+D43</f>
        <v>808587.14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D25+D26+D27+D28+D29</f>
        <v>721622.52</v>
      </c>
    </row>
    <row r="25" spans="1:4" ht="26.25" thickBot="1">
      <c r="A25" s="166" t="s">
        <v>662</v>
      </c>
      <c r="B25" s="64" t="s">
        <v>652</v>
      </c>
      <c r="C25" s="45"/>
      <c r="D25" s="171">
        <v>406626.95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155783.23</v>
      </c>
    </row>
    <row r="27" spans="1:4" ht="25.5" thickBot="1">
      <c r="A27" s="133" t="s">
        <v>658</v>
      </c>
      <c r="B27" s="168" t="s">
        <v>657</v>
      </c>
      <c r="C27" s="145"/>
      <c r="D27" s="171">
        <v>124943.77</v>
      </c>
    </row>
    <row r="28" spans="1:4" ht="15.75" thickBot="1">
      <c r="A28" s="133" t="s">
        <v>879</v>
      </c>
      <c r="B28" s="181" t="s">
        <v>661</v>
      </c>
      <c r="C28" s="182"/>
      <c r="D28" s="183">
        <v>2717.5</v>
      </c>
    </row>
    <row r="29" spans="1:4" ht="15.75" thickBot="1">
      <c r="A29" s="147" t="s">
        <v>685</v>
      </c>
      <c r="B29" s="184" t="s">
        <v>817</v>
      </c>
      <c r="C29" s="45" t="s">
        <v>801</v>
      </c>
      <c r="D29" s="186">
        <v>31551.07</v>
      </c>
    </row>
    <row r="30" spans="1:4" ht="15.75" thickBot="1">
      <c r="A30" s="148" t="s">
        <v>760</v>
      </c>
      <c r="B30" s="149"/>
      <c r="C30" s="139"/>
      <c r="D30" s="194">
        <f>D32+D34+D35+D36+D37+D39+D40+D41</f>
        <v>86964.62</v>
      </c>
    </row>
    <row r="31" spans="1:4" ht="24.75" thickBot="1">
      <c r="A31" s="150" t="s">
        <v>672</v>
      </c>
      <c r="B31" s="15" t="s">
        <v>920</v>
      </c>
      <c r="C31" s="49" t="s">
        <v>673</v>
      </c>
      <c r="D31" s="176" t="s">
        <v>793</v>
      </c>
    </row>
    <row r="32" spans="1:4" ht="14.25">
      <c r="A32" s="156" t="s">
        <v>816</v>
      </c>
      <c r="B32" s="74" t="s">
        <v>661</v>
      </c>
      <c r="C32" s="153"/>
      <c r="D32" s="177">
        <v>409.7</v>
      </c>
    </row>
    <row r="33" spans="1:4" ht="14.25">
      <c r="A33" s="151" t="s">
        <v>676</v>
      </c>
      <c r="B33" s="116"/>
      <c r="C33" s="153"/>
      <c r="D33" s="177"/>
    </row>
    <row r="34" spans="1:4" ht="14.25">
      <c r="A34" s="157" t="s">
        <v>815</v>
      </c>
      <c r="B34" s="74" t="s">
        <v>661</v>
      </c>
      <c r="C34" s="153"/>
      <c r="D34" s="178">
        <v>2457.56</v>
      </c>
    </row>
    <row r="35" spans="1:4" ht="14.25">
      <c r="A35" s="132" t="s">
        <v>883</v>
      </c>
      <c r="B35" s="74" t="s">
        <v>661</v>
      </c>
      <c r="C35" s="153"/>
      <c r="D35" s="179">
        <v>46269.47</v>
      </c>
    </row>
    <row r="36" spans="1:4" ht="14.25">
      <c r="A36" s="157" t="s">
        <v>880</v>
      </c>
      <c r="B36" s="74" t="s">
        <v>661</v>
      </c>
      <c r="C36" s="153"/>
      <c r="D36" s="179">
        <v>7304.21</v>
      </c>
    </row>
    <row r="37" spans="1:4" ht="14.25">
      <c r="A37" s="157" t="s">
        <v>925</v>
      </c>
      <c r="B37" s="74" t="s">
        <v>661</v>
      </c>
      <c r="C37" s="153"/>
      <c r="D37" s="180">
        <v>14626.25</v>
      </c>
    </row>
    <row r="38" spans="1:4" ht="15">
      <c r="A38" s="151" t="s">
        <v>682</v>
      </c>
      <c r="B38" s="118"/>
      <c r="C38" s="152"/>
      <c r="D38" s="191"/>
    </row>
    <row r="39" spans="1:4" ht="14.25">
      <c r="A39" s="159" t="s">
        <v>886</v>
      </c>
      <c r="B39" s="74" t="s">
        <v>661</v>
      </c>
      <c r="C39" s="152"/>
      <c r="D39" s="192">
        <v>4834.4</v>
      </c>
    </row>
    <row r="40" spans="1:4" ht="14.25">
      <c r="A40" s="159" t="s">
        <v>888</v>
      </c>
      <c r="B40" s="74" t="s">
        <v>661</v>
      </c>
      <c r="C40" s="152"/>
      <c r="D40" s="192">
        <f>1609.78+1537.2+1353.74+233.2+1576.19+2655.28</f>
        <v>8965.390000000001</v>
      </c>
    </row>
    <row r="41" spans="1:4" ht="14.25">
      <c r="A41" s="159" t="s">
        <v>929</v>
      </c>
      <c r="B41" s="74" t="s">
        <v>661</v>
      </c>
      <c r="C41" s="152"/>
      <c r="D41" s="192">
        <v>2097.64</v>
      </c>
    </row>
    <row r="42" spans="1:4" ht="14.25" hidden="1">
      <c r="A42" s="157"/>
      <c r="B42" s="153"/>
      <c r="C42" s="152"/>
      <c r="D42" s="160"/>
    </row>
    <row r="43" spans="1:4" ht="15" hidden="1">
      <c r="A43" s="162" t="s">
        <v>821</v>
      </c>
      <c r="B43" s="163"/>
      <c r="C43" s="164"/>
      <c r="D43" s="165">
        <f>SUM(D32:D42)</f>
        <v>86964.62</v>
      </c>
    </row>
    <row r="44" spans="1:4" ht="15">
      <c r="A44" s="71"/>
      <c r="B44" s="11"/>
      <c r="C44" s="11"/>
      <c r="D44" s="11"/>
    </row>
    <row r="45" spans="1:4" ht="15">
      <c r="A45" s="71"/>
      <c r="B45" s="11"/>
      <c r="C45" s="11"/>
      <c r="D45" s="11"/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3" ht="15.75">
      <c r="A48" s="187" t="s">
        <v>921</v>
      </c>
      <c r="B48" s="187"/>
      <c r="C48" s="187" t="s">
        <v>889</v>
      </c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5" ht="15.75">
      <c r="A55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99CC"/>
  </sheetPr>
  <dimension ref="A1:D8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10.57421875" style="0" hidden="1" customWidth="1"/>
    <col min="6" max="6" width="10.8515625" style="0" hidden="1" customWidth="1"/>
    <col min="8" max="8" width="9.57421875" style="0" bestFit="1" customWidth="1"/>
    <col min="9" max="9" width="10.28125" style="0" customWidth="1"/>
    <col min="11" max="11" width="10.140625" style="0" customWidth="1"/>
  </cols>
  <sheetData>
    <row r="1" ht="12.75">
      <c r="A1" s="690"/>
    </row>
    <row r="2" ht="12.75">
      <c r="A2" s="690"/>
    </row>
    <row r="3" spans="3:4" ht="12.75">
      <c r="C3" s="1364" t="s">
        <v>792</v>
      </c>
      <c r="D3" s="1364"/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336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0">
        <v>340893.09</v>
      </c>
      <c r="D13" s="1371"/>
    </row>
    <row r="14" spans="1:4" ht="15">
      <c r="A14" s="471" t="s">
        <v>538</v>
      </c>
      <c r="B14" s="473"/>
      <c r="C14" s="1336">
        <v>2782775.12</v>
      </c>
      <c r="D14" s="1337"/>
    </row>
    <row r="15" spans="1:4" ht="15">
      <c r="A15" s="470" t="s">
        <v>647</v>
      </c>
      <c r="B15" s="474"/>
      <c r="C15" s="1338">
        <v>2708182.54</v>
      </c>
      <c r="D15" s="1339"/>
    </row>
    <row r="16" spans="1:4" ht="15">
      <c r="A16" s="475" t="s">
        <v>348</v>
      </c>
      <c r="B16" s="476"/>
      <c r="C16" s="1327">
        <f>C13+C14-C15</f>
        <v>415485.6699999999</v>
      </c>
      <c r="D16" s="1328"/>
    </row>
    <row r="17" spans="1:4" ht="14.25">
      <c r="A17" s="470" t="s">
        <v>540</v>
      </c>
      <c r="B17" s="527"/>
      <c r="C17" s="1329">
        <v>2076794.72</v>
      </c>
      <c r="D17" s="1330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481" t="s">
        <v>477</v>
      </c>
      <c r="B22" s="482" t="s">
        <v>667</v>
      </c>
      <c r="C22" s="409" t="s">
        <v>673</v>
      </c>
      <c r="D22" s="453" t="s">
        <v>793</v>
      </c>
    </row>
    <row r="23" spans="1:4" ht="16.5" thickBot="1">
      <c r="A23" s="477" t="s">
        <v>913</v>
      </c>
      <c r="B23" s="483"/>
      <c r="C23" s="564"/>
      <c r="D23" s="742"/>
    </row>
    <row r="24" spans="1:4" ht="26.25">
      <c r="A24" s="546" t="s">
        <v>105</v>
      </c>
      <c r="B24" s="394" t="s">
        <v>652</v>
      </c>
      <c r="C24" s="633"/>
      <c r="D24" s="393">
        <v>204333.11</v>
      </c>
    </row>
    <row r="25" spans="1:4" ht="15">
      <c r="A25" s="492" t="s">
        <v>654</v>
      </c>
      <c r="B25" s="398" t="s">
        <v>656</v>
      </c>
      <c r="C25" s="392" t="s">
        <v>801</v>
      </c>
      <c r="D25" s="393">
        <v>119715.25</v>
      </c>
    </row>
    <row r="26" spans="1:4" ht="15">
      <c r="A26" s="492" t="s">
        <v>1017</v>
      </c>
      <c r="B26" s="398" t="s">
        <v>102</v>
      </c>
      <c r="C26" s="392"/>
      <c r="D26" s="393">
        <v>232346.1</v>
      </c>
    </row>
    <row r="27" spans="1:4" ht="24.75">
      <c r="A27" s="546" t="s">
        <v>58</v>
      </c>
      <c r="B27" s="399" t="s">
        <v>657</v>
      </c>
      <c r="C27" s="392"/>
      <c r="D27" s="393">
        <v>116362</v>
      </c>
    </row>
    <row r="28" spans="1:4" ht="24.75">
      <c r="A28" s="492" t="s">
        <v>14</v>
      </c>
      <c r="B28" s="397" t="s">
        <v>657</v>
      </c>
      <c r="C28" s="404"/>
      <c r="D28" s="396">
        <v>149659.57</v>
      </c>
    </row>
    <row r="29" spans="1:4" ht="15">
      <c r="A29" s="492" t="s">
        <v>909</v>
      </c>
      <c r="B29" s="399" t="s">
        <v>661</v>
      </c>
      <c r="C29" s="400"/>
      <c r="D29" s="393">
        <v>2259</v>
      </c>
    </row>
    <row r="30" spans="1:4" ht="15">
      <c r="A30" s="413" t="s">
        <v>210</v>
      </c>
      <c r="B30" s="397"/>
      <c r="C30" s="404"/>
      <c r="D30" s="396">
        <v>19778.94</v>
      </c>
    </row>
    <row r="31" spans="1:4" ht="15">
      <c r="A31" s="389" t="s">
        <v>953</v>
      </c>
      <c r="B31" s="399"/>
      <c r="C31" s="508"/>
      <c r="D31" s="393">
        <v>34588.9</v>
      </c>
    </row>
    <row r="32" spans="1:4" ht="15">
      <c r="A32" s="413" t="s">
        <v>952</v>
      </c>
      <c r="B32" s="399"/>
      <c r="C32" s="508"/>
      <c r="D32" s="393">
        <v>773.08</v>
      </c>
    </row>
    <row r="33" spans="1:4" ht="15.75" thickBot="1">
      <c r="A33" s="413" t="s">
        <v>799</v>
      </c>
      <c r="B33" s="609"/>
      <c r="C33" s="617"/>
      <c r="D33" s="618">
        <v>34412.91</v>
      </c>
    </row>
    <row r="34" spans="1:4" ht="15.75" thickBot="1">
      <c r="A34" s="805" t="s">
        <v>701</v>
      </c>
      <c r="B34" s="980"/>
      <c r="C34" s="796"/>
      <c r="D34" s="940">
        <v>914228.86</v>
      </c>
    </row>
    <row r="35" spans="1:4" ht="15.75" thickBot="1">
      <c r="A35" s="487" t="s">
        <v>914</v>
      </c>
      <c r="B35" s="461"/>
      <c r="C35" s="462"/>
      <c r="D35" s="463"/>
    </row>
    <row r="36" spans="1:4" ht="24">
      <c r="A36" s="943" t="s">
        <v>194</v>
      </c>
      <c r="B36" s="433" t="s">
        <v>920</v>
      </c>
      <c r="C36" s="443" t="s">
        <v>673</v>
      </c>
      <c r="D36" s="444" t="s">
        <v>793</v>
      </c>
    </row>
    <row r="37" spans="1:4" ht="15">
      <c r="A37" s="359" t="s">
        <v>389</v>
      </c>
      <c r="B37" s="410"/>
      <c r="C37" s="410">
        <v>1</v>
      </c>
      <c r="D37" s="561">
        <v>513877</v>
      </c>
    </row>
    <row r="38" spans="1:4" ht="28.5">
      <c r="A38" s="389" t="s">
        <v>954</v>
      </c>
      <c r="B38" s="410" t="s">
        <v>478</v>
      </c>
      <c r="C38" s="410">
        <v>2</v>
      </c>
      <c r="D38" s="561">
        <v>2160.72</v>
      </c>
    </row>
    <row r="39" spans="1:4" ht="15.75" thickBot="1">
      <c r="A39" s="799" t="s">
        <v>11</v>
      </c>
      <c r="B39" s="432"/>
      <c r="C39" s="1147"/>
      <c r="D39" s="835">
        <v>19563.12</v>
      </c>
    </row>
    <row r="40" spans="1:4" ht="15.75" thickBot="1">
      <c r="A40" s="806" t="s">
        <v>701</v>
      </c>
      <c r="B40" s="957"/>
      <c r="C40" s="462"/>
      <c r="D40" s="858">
        <v>535600.84</v>
      </c>
    </row>
    <row r="41" spans="1:4" ht="15">
      <c r="A41" s="943" t="s">
        <v>134</v>
      </c>
      <c r="B41" s="385"/>
      <c r="C41" s="652"/>
      <c r="D41" s="441"/>
    </row>
    <row r="42" spans="1:4" ht="15">
      <c r="A42" s="359" t="s">
        <v>324</v>
      </c>
      <c r="B42" s="363" t="s">
        <v>947</v>
      </c>
      <c r="C42" s="421">
        <v>3</v>
      </c>
      <c r="D42" s="421">
        <v>7913.55</v>
      </c>
    </row>
    <row r="43" spans="1:4" ht="15">
      <c r="A43" s="359" t="s">
        <v>948</v>
      </c>
      <c r="B43" s="358" t="s">
        <v>478</v>
      </c>
      <c r="C43" s="421">
        <v>2</v>
      </c>
      <c r="D43" s="421">
        <v>1503.9</v>
      </c>
    </row>
    <row r="44" spans="1:4" ht="15">
      <c r="A44" s="359" t="s">
        <v>455</v>
      </c>
      <c r="B44" s="363"/>
      <c r="C44" s="421">
        <v>10</v>
      </c>
      <c r="D44" s="421">
        <v>14524.96</v>
      </c>
    </row>
    <row r="45" spans="1:4" ht="15">
      <c r="A45" s="359" t="s">
        <v>949</v>
      </c>
      <c r="B45" s="358" t="s">
        <v>478</v>
      </c>
      <c r="C45" s="421">
        <v>1</v>
      </c>
      <c r="D45" s="421">
        <v>361.96</v>
      </c>
    </row>
    <row r="46" spans="1:4" ht="15">
      <c r="A46" s="843" t="s">
        <v>378</v>
      </c>
      <c r="B46" s="1016"/>
      <c r="C46" s="661">
        <v>1</v>
      </c>
      <c r="D46" s="836">
        <v>26603</v>
      </c>
    </row>
    <row r="47" spans="1:4" ht="16.5" thickBot="1">
      <c r="A47" s="833" t="s">
        <v>444</v>
      </c>
      <c r="B47" s="758" t="s">
        <v>478</v>
      </c>
      <c r="C47" s="616">
        <v>1</v>
      </c>
      <c r="D47" s="541">
        <v>13734.18</v>
      </c>
    </row>
    <row r="48" spans="1:4" ht="16.5" thickBot="1">
      <c r="A48" s="829" t="s">
        <v>701</v>
      </c>
      <c r="B48" s="811"/>
      <c r="C48" s="550"/>
      <c r="D48" s="858">
        <v>64641.55</v>
      </c>
    </row>
    <row r="49" spans="1:4" ht="15">
      <c r="A49" s="808" t="s">
        <v>780</v>
      </c>
      <c r="B49" s="570"/>
      <c r="C49" s="652"/>
      <c r="D49" s="598"/>
    </row>
    <row r="50" spans="1:4" ht="15">
      <c r="A50" s="359" t="s">
        <v>235</v>
      </c>
      <c r="B50" s="365" t="s">
        <v>211</v>
      </c>
      <c r="C50" s="421">
        <v>15.5</v>
      </c>
      <c r="D50" s="532">
        <v>44947.19</v>
      </c>
    </row>
    <row r="51" spans="1:4" ht="15.75" thickBot="1">
      <c r="A51" s="944"/>
      <c r="B51" s="365"/>
      <c r="C51" s="421"/>
      <c r="D51" s="532"/>
    </row>
    <row r="52" spans="1:4" ht="16.5" thickBot="1">
      <c r="A52" s="829" t="s">
        <v>701</v>
      </c>
      <c r="B52" s="811"/>
      <c r="C52" s="550"/>
      <c r="D52" s="858">
        <v>44947.19</v>
      </c>
    </row>
    <row r="53" spans="1:4" ht="15">
      <c r="A53" s="938" t="s">
        <v>361</v>
      </c>
      <c r="B53" s="834"/>
      <c r="C53" s="661"/>
      <c r="D53" s="835"/>
    </row>
    <row r="54" spans="1:4" ht="15">
      <c r="A54" s="359" t="s">
        <v>479</v>
      </c>
      <c r="B54" s="365" t="s">
        <v>372</v>
      </c>
      <c r="C54" s="421">
        <v>1</v>
      </c>
      <c r="D54" s="532">
        <v>1881.87</v>
      </c>
    </row>
    <row r="55" spans="1:4" ht="15">
      <c r="A55" s="359" t="s">
        <v>881</v>
      </c>
      <c r="B55" s="365" t="s">
        <v>52</v>
      </c>
      <c r="C55" s="421">
        <v>1</v>
      </c>
      <c r="D55" s="532">
        <v>498.87</v>
      </c>
    </row>
    <row r="56" spans="1:4" ht="15">
      <c r="A56" s="359" t="s">
        <v>212</v>
      </c>
      <c r="B56" s="365" t="s">
        <v>81</v>
      </c>
      <c r="C56" s="421">
        <v>1</v>
      </c>
      <c r="D56" s="532">
        <v>1400.22</v>
      </c>
    </row>
    <row r="57" spans="1:4" ht="16.5" thickBot="1">
      <c r="A57" s="833" t="s">
        <v>882</v>
      </c>
      <c r="B57" s="758"/>
      <c r="C57" s="616">
        <v>6</v>
      </c>
      <c r="D57" s="541">
        <v>22719.92</v>
      </c>
    </row>
    <row r="58" spans="1:4" ht="15.75" thickBot="1">
      <c r="A58" s="806" t="s">
        <v>901</v>
      </c>
      <c r="B58" s="811"/>
      <c r="C58" s="1013"/>
      <c r="D58" s="858">
        <v>26500.88</v>
      </c>
    </row>
    <row r="59" spans="1:4" ht="15">
      <c r="A59" s="938" t="s">
        <v>955</v>
      </c>
      <c r="B59" s="834"/>
      <c r="C59" s="531"/>
      <c r="D59" s="835"/>
    </row>
    <row r="60" spans="1:4" ht="15">
      <c r="A60" s="359" t="s">
        <v>886</v>
      </c>
      <c r="B60" s="365" t="s">
        <v>478</v>
      </c>
      <c r="C60" s="359">
        <v>7</v>
      </c>
      <c r="D60" s="532">
        <v>3839.48</v>
      </c>
    </row>
    <row r="61" spans="1:4" ht="15">
      <c r="A61" s="359" t="s">
        <v>951</v>
      </c>
      <c r="B61" s="365" t="s">
        <v>478</v>
      </c>
      <c r="C61" s="359">
        <v>1</v>
      </c>
      <c r="D61" s="532">
        <v>188.75</v>
      </c>
    </row>
    <row r="62" spans="1:4" ht="15">
      <c r="A62" s="359" t="s">
        <v>950</v>
      </c>
      <c r="B62" s="365"/>
      <c r="C62" s="359">
        <v>5</v>
      </c>
      <c r="D62" s="532">
        <v>3251.43</v>
      </c>
    </row>
    <row r="63" spans="1:4" ht="16.5" thickBot="1">
      <c r="A63" s="833" t="s">
        <v>542</v>
      </c>
      <c r="B63" s="758" t="s">
        <v>52</v>
      </c>
      <c r="C63" s="616">
        <v>2</v>
      </c>
      <c r="D63" s="541">
        <v>654.38</v>
      </c>
    </row>
    <row r="64" spans="1:4" ht="15.75" thickBot="1">
      <c r="A64" s="806" t="s">
        <v>1014</v>
      </c>
      <c r="B64" s="811"/>
      <c r="C64" s="462"/>
      <c r="D64" s="892">
        <v>7934.04</v>
      </c>
    </row>
    <row r="65" spans="1:4" ht="15">
      <c r="A65" s="1081"/>
      <c r="B65" s="570"/>
      <c r="C65" s="377"/>
      <c r="D65" s="959"/>
    </row>
    <row r="66" spans="1:4" ht="15">
      <c r="A66" s="838" t="s">
        <v>375</v>
      </c>
      <c r="B66" s="365"/>
      <c r="C66" s="359"/>
      <c r="D66" s="869">
        <v>679624.5</v>
      </c>
    </row>
    <row r="67" spans="1:4" ht="15">
      <c r="A67" s="838"/>
      <c r="B67" s="365"/>
      <c r="C67" s="359"/>
      <c r="D67" s="532"/>
    </row>
    <row r="68" spans="1:4" ht="15">
      <c r="A68" s="955" t="s">
        <v>453</v>
      </c>
      <c r="B68" s="365"/>
      <c r="C68" s="359"/>
      <c r="D68" s="869">
        <v>44329.74</v>
      </c>
    </row>
    <row r="69" spans="1:4" ht="15">
      <c r="A69" s="955" t="s">
        <v>904</v>
      </c>
      <c r="B69" s="365"/>
      <c r="C69" s="359"/>
      <c r="D69" s="869">
        <v>55057.15</v>
      </c>
    </row>
    <row r="70" spans="1:4" ht="15">
      <c r="A70" s="955" t="s">
        <v>775</v>
      </c>
      <c r="B70" s="365"/>
      <c r="C70" s="359"/>
      <c r="D70" s="869">
        <v>383554.47</v>
      </c>
    </row>
    <row r="71" spans="1:4" ht="15.75" thickBot="1">
      <c r="A71" s="526"/>
      <c r="B71" s="758"/>
      <c r="C71" s="807"/>
      <c r="D71" s="541"/>
    </row>
    <row r="72" spans="1:4" ht="15.75" thickBot="1">
      <c r="A72" s="806" t="s">
        <v>135</v>
      </c>
      <c r="B72" s="957"/>
      <c r="C72" s="1024"/>
      <c r="D72" s="858">
        <v>2076794.72</v>
      </c>
    </row>
    <row r="73" spans="1:4" ht="15">
      <c r="A73" s="196"/>
      <c r="B73" s="196"/>
      <c r="C73" s="196"/>
      <c r="D73" s="197"/>
    </row>
    <row r="74" spans="1:4" ht="14.25">
      <c r="A74" s="764"/>
      <c r="B74" s="358"/>
      <c r="C74" s="359"/>
      <c r="D74" s="1262"/>
    </row>
    <row r="75" spans="1:4" ht="15">
      <c r="A75" s="1251" t="s">
        <v>568</v>
      </c>
      <c r="B75" s="1257"/>
      <c r="C75" s="467"/>
      <c r="D75" s="467">
        <v>0</v>
      </c>
    </row>
    <row r="76" spans="1:4" ht="15">
      <c r="A76" s="1332" t="s">
        <v>569</v>
      </c>
      <c r="B76" s="1332"/>
      <c r="C76" s="628"/>
      <c r="D76" s="608">
        <v>2708182.54</v>
      </c>
    </row>
    <row r="77" spans="1:4" ht="15">
      <c r="A77" s="1332" t="s">
        <v>570</v>
      </c>
      <c r="B77" s="1332"/>
      <c r="C77" s="607"/>
      <c r="D77" s="608">
        <v>2076794.72</v>
      </c>
    </row>
    <row r="78" spans="1:4" ht="15">
      <c r="A78" s="1333" t="s">
        <v>571</v>
      </c>
      <c r="B78" s="1333"/>
      <c r="C78" s="629"/>
      <c r="D78" s="629">
        <v>-631387.82</v>
      </c>
    </row>
    <row r="79" spans="1:4" ht="15">
      <c r="A79" s="1332" t="s">
        <v>179</v>
      </c>
      <c r="B79" s="1332"/>
      <c r="C79" s="1258"/>
      <c r="D79" s="630">
        <v>-631387.82</v>
      </c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 t="s">
        <v>180</v>
      </c>
      <c r="B83" s="538"/>
      <c r="C83" s="1259" t="s">
        <v>573</v>
      </c>
      <c r="D83" s="1260"/>
    </row>
    <row r="84" spans="1:4" ht="15">
      <c r="A84" s="538"/>
      <c r="B84" s="538"/>
      <c r="C84" s="1259"/>
      <c r="D84" s="1260"/>
    </row>
    <row r="85" ht="12.75">
      <c r="A85" s="735" t="s">
        <v>357</v>
      </c>
    </row>
    <row r="86" ht="12.75">
      <c r="A86" s="735" t="s">
        <v>906</v>
      </c>
    </row>
    <row r="87" ht="12.75">
      <c r="A87" s="735" t="s">
        <v>358</v>
      </c>
    </row>
    <row r="88" ht="12.75">
      <c r="A88" s="735"/>
    </row>
    <row r="89" ht="12.75">
      <c r="A89" s="735"/>
    </row>
  </sheetData>
  <sheetProtection/>
  <mergeCells count="19">
    <mergeCell ref="A7:B7"/>
    <mergeCell ref="A9:B9"/>
    <mergeCell ref="C3:D3"/>
    <mergeCell ref="A4:B4"/>
    <mergeCell ref="A5:B5"/>
    <mergeCell ref="A6:B6"/>
    <mergeCell ref="A20:D20"/>
    <mergeCell ref="C13:D13"/>
    <mergeCell ref="C14:D14"/>
    <mergeCell ref="C15:D15"/>
    <mergeCell ref="C16:D16"/>
    <mergeCell ref="A11:B12"/>
    <mergeCell ref="C11:D12"/>
    <mergeCell ref="C17:D17"/>
    <mergeCell ref="A19:D19"/>
    <mergeCell ref="A76:B76"/>
    <mergeCell ref="A77:B77"/>
    <mergeCell ref="A78:B78"/>
    <mergeCell ref="A79:B79"/>
  </mergeCells>
  <printOptions/>
  <pageMargins left="0.1968503937007874" right="0" top="0.3937007874015748" bottom="0.15748031496062992" header="0.31496062992125984" footer="0.31496062992125984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B7">
      <selection activeCell="B15" sqref="B15:C16"/>
    </sheetView>
  </sheetViews>
  <sheetFormatPr defaultColWidth="8.8515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7.421875" style="1" customWidth="1"/>
    <col min="7" max="16384" width="8.8515625" style="1" customWidth="1"/>
  </cols>
  <sheetData>
    <row r="1" ht="15" customHeight="1">
      <c r="E1" s="1" t="s">
        <v>792</v>
      </c>
    </row>
    <row r="2" spans="2:4" ht="20.25" customHeight="1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8.25" customHeight="1">
      <c r="B6" s="26"/>
      <c r="C6" s="26"/>
      <c r="D6"/>
    </row>
    <row r="7" spans="2:4" ht="15.75">
      <c r="B7" s="1392" t="s">
        <v>805</v>
      </c>
      <c r="C7" s="1392"/>
      <c r="D7"/>
    </row>
    <row r="8" spans="2:4" ht="8.25" customHeight="1" thickBot="1">
      <c r="B8" s="4"/>
      <c r="C8"/>
      <c r="D8"/>
    </row>
    <row r="9" spans="2:5" ht="24" customHeight="1">
      <c r="B9" s="1393" t="s">
        <v>642</v>
      </c>
      <c r="C9" s="1394"/>
      <c r="D9" s="22" t="s">
        <v>643</v>
      </c>
      <c r="E9" s="23" t="s">
        <v>649</v>
      </c>
    </row>
    <row r="10" spans="2:5" ht="17.25" customHeight="1" thickBot="1">
      <c r="B10" s="1395"/>
      <c r="C10" s="1396"/>
      <c r="D10" s="24" t="s">
        <v>644</v>
      </c>
      <c r="E10" s="25" t="s">
        <v>645</v>
      </c>
    </row>
    <row r="11" spans="2:5" ht="18" customHeight="1" thickBot="1">
      <c r="B11" s="66" t="s">
        <v>794</v>
      </c>
      <c r="C11" s="58"/>
      <c r="D11" s="25">
        <f>70662.63+490.4</f>
        <v>71153.03</v>
      </c>
      <c r="E11" s="25">
        <v>14290.91</v>
      </c>
    </row>
    <row r="12" spans="2:5" ht="18" customHeight="1" thickBot="1">
      <c r="B12" s="1398" t="s">
        <v>646</v>
      </c>
      <c r="C12" s="1399"/>
      <c r="D12" s="76">
        <f>889163.43+4718.94</f>
        <v>893882.37</v>
      </c>
      <c r="E12" s="5">
        <v>31781.46</v>
      </c>
    </row>
    <row r="13" spans="2:5" ht="18.75" customHeight="1" thickBot="1">
      <c r="B13" s="1398" t="s">
        <v>647</v>
      </c>
      <c r="C13" s="1399"/>
      <c r="D13" s="5">
        <f>880222.66+5210.78</f>
        <v>885433.4400000001</v>
      </c>
      <c r="E13" s="5">
        <v>46072.37</v>
      </c>
    </row>
    <row r="14" spans="2:5" ht="17.25" customHeight="1" hidden="1" thickBot="1">
      <c r="B14" s="1398" t="s">
        <v>666</v>
      </c>
      <c r="C14" s="1399"/>
      <c r="D14" s="5"/>
      <c r="E14" s="5"/>
    </row>
    <row r="15" spans="2:5" ht="17.25" customHeight="1" thickBot="1">
      <c r="B15" s="1341" t="s">
        <v>46</v>
      </c>
      <c r="C15" s="1342"/>
      <c r="D15" s="5">
        <v>12080.64</v>
      </c>
      <c r="E15" s="5"/>
    </row>
    <row r="16" spans="2:5" ht="17.25" customHeight="1" thickBot="1">
      <c r="B16" s="1341" t="s">
        <v>47</v>
      </c>
      <c r="C16" s="1342"/>
      <c r="D16" s="5"/>
      <c r="E16" s="5"/>
    </row>
    <row r="17" spans="2:5" ht="18" customHeight="1" thickBot="1">
      <c r="B17" s="1398" t="s">
        <v>648</v>
      </c>
      <c r="C17" s="1399"/>
      <c r="D17" s="5">
        <f>D11+D12-D13</f>
        <v>79601.95999999996</v>
      </c>
      <c r="E17" s="5">
        <f>E11+E12-E13</f>
        <v>0</v>
      </c>
    </row>
    <row r="18" spans="2:5" ht="19.5" customHeight="1" thickBot="1">
      <c r="B18" s="1398" t="s">
        <v>806</v>
      </c>
      <c r="C18" s="1399"/>
      <c r="D18" s="131">
        <f>E24+E46</f>
        <v>1060513.85</v>
      </c>
      <c r="E18" s="73"/>
    </row>
    <row r="19" spans="3:4" ht="15" customHeight="1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8.25" customHeight="1" thickBot="1">
      <c r="D22" s="11"/>
    </row>
    <row r="23" spans="1:5" ht="34.5" customHeight="1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18.75" customHeight="1" thickBot="1">
      <c r="A24" s="9"/>
      <c r="B24" s="35" t="s">
        <v>761</v>
      </c>
      <c r="C24" s="61"/>
      <c r="D24" s="10"/>
      <c r="E24" s="62">
        <f>E25+E31+E33+E34+E44</f>
        <v>724815.1</v>
      </c>
    </row>
    <row r="25" spans="1:6" s="91" customFormat="1" ht="35.25" customHeight="1" thickBot="1">
      <c r="A25" s="90"/>
      <c r="B25" s="67" t="s">
        <v>662</v>
      </c>
      <c r="C25" s="92" t="s">
        <v>652</v>
      </c>
      <c r="D25" s="93"/>
      <c r="E25" s="109">
        <v>429311.81</v>
      </c>
      <c r="F25" s="1"/>
    </row>
    <row r="26" spans="2:6" s="91" customFormat="1" ht="39" customHeight="1" hidden="1" thickBot="1">
      <c r="B26" s="36" t="s">
        <v>686</v>
      </c>
      <c r="C26" s="94" t="s">
        <v>661</v>
      </c>
      <c r="D26" s="95"/>
      <c r="E26" s="246"/>
      <c r="F26" s="1"/>
    </row>
    <row r="27" spans="2:6" s="91" customFormat="1" ht="27" customHeight="1" hidden="1" thickBot="1">
      <c r="B27" s="36" t="s">
        <v>765</v>
      </c>
      <c r="C27" s="94" t="s">
        <v>661</v>
      </c>
      <c r="D27" s="95"/>
      <c r="E27" s="246"/>
      <c r="F27" s="1"/>
    </row>
    <row r="28" spans="2:6" s="91" customFormat="1" ht="30" customHeight="1" hidden="1" thickBot="1">
      <c r="B28" s="36" t="s">
        <v>655</v>
      </c>
      <c r="C28" s="92" t="s">
        <v>653</v>
      </c>
      <c r="D28" s="93"/>
      <c r="E28" s="247"/>
      <c r="F28" s="1"/>
    </row>
    <row r="29" spans="2:6" s="91" customFormat="1" ht="39" customHeight="1" hidden="1" thickBot="1">
      <c r="B29" s="36" t="s">
        <v>796</v>
      </c>
      <c r="C29" s="94" t="s">
        <v>661</v>
      </c>
      <c r="D29" s="95"/>
      <c r="E29" s="246"/>
      <c r="F29" s="1"/>
    </row>
    <row r="30" spans="2:6" s="91" customFormat="1" ht="52.5" customHeight="1" hidden="1" thickBot="1">
      <c r="B30" s="36" t="s">
        <v>797</v>
      </c>
      <c r="C30" s="94" t="s">
        <v>661</v>
      </c>
      <c r="D30" s="95"/>
      <c r="E30" s="246"/>
      <c r="F30" s="1"/>
    </row>
    <row r="31" spans="2:6" s="91" customFormat="1" ht="19.5" customHeight="1" thickBot="1">
      <c r="B31" s="67" t="s">
        <v>654</v>
      </c>
      <c r="C31" s="96" t="s">
        <v>656</v>
      </c>
      <c r="D31" s="93" t="s">
        <v>801</v>
      </c>
      <c r="E31" s="247">
        <v>149039.28</v>
      </c>
      <c r="F31" s="1"/>
    </row>
    <row r="32" spans="2:6" s="91" customFormat="1" ht="29.25" customHeight="1" hidden="1" thickBot="1">
      <c r="B32" s="36" t="s">
        <v>872</v>
      </c>
      <c r="C32" s="94" t="s">
        <v>661</v>
      </c>
      <c r="D32" s="94" t="s">
        <v>822</v>
      </c>
      <c r="E32" s="246"/>
      <c r="F32" s="1"/>
    </row>
    <row r="33" spans="2:6" s="91" customFormat="1" ht="27.75" customHeight="1" thickBot="1">
      <c r="B33" s="67" t="s">
        <v>658</v>
      </c>
      <c r="C33" s="92" t="s">
        <v>657</v>
      </c>
      <c r="D33" s="93"/>
      <c r="E33" s="109">
        <v>114421.49</v>
      </c>
      <c r="F33" s="1"/>
    </row>
    <row r="34" spans="2:6" s="91" customFormat="1" ht="17.25" customHeight="1" thickBot="1">
      <c r="B34" s="67" t="s">
        <v>879</v>
      </c>
      <c r="C34" s="92" t="s">
        <v>661</v>
      </c>
      <c r="D34" s="93"/>
      <c r="E34" s="109">
        <f>1090.8</f>
        <v>1090.8</v>
      </c>
      <c r="F34" s="1"/>
    </row>
    <row r="35" spans="2:8" s="91" customFormat="1" ht="27.75" customHeight="1" hidden="1" thickBot="1">
      <c r="B35" s="36" t="s">
        <v>758</v>
      </c>
      <c r="C35" s="92" t="s">
        <v>665</v>
      </c>
      <c r="D35" s="93"/>
      <c r="E35" s="247"/>
      <c r="F35" s="1"/>
      <c r="G35" s="97"/>
      <c r="H35" s="90"/>
    </row>
    <row r="36" spans="2:8" s="91" customFormat="1" ht="33.75" customHeight="1" hidden="1" thickBot="1">
      <c r="B36" s="36" t="s">
        <v>664</v>
      </c>
      <c r="C36" s="94" t="s">
        <v>661</v>
      </c>
      <c r="D36" s="95"/>
      <c r="E36" s="246"/>
      <c r="F36" s="1"/>
      <c r="G36" s="98"/>
      <c r="H36" s="90"/>
    </row>
    <row r="37" spans="2:8" s="91" customFormat="1" ht="38.25" customHeight="1" hidden="1" thickBot="1">
      <c r="B37" s="36" t="s">
        <v>671</v>
      </c>
      <c r="C37" s="94" t="s">
        <v>661</v>
      </c>
      <c r="D37" s="99"/>
      <c r="E37" s="248"/>
      <c r="F37" s="1"/>
      <c r="G37" s="98"/>
      <c r="H37" s="90"/>
    </row>
    <row r="38" spans="2:8" s="91" customFormat="1" ht="93.75" customHeight="1" hidden="1" thickBot="1">
      <c r="B38" s="36" t="s">
        <v>873</v>
      </c>
      <c r="C38" s="94" t="s">
        <v>661</v>
      </c>
      <c r="D38" s="95"/>
      <c r="E38" s="246"/>
      <c r="F38" s="1"/>
      <c r="G38" s="100"/>
      <c r="H38" s="90"/>
    </row>
    <row r="39" spans="2:8" s="91" customFormat="1" ht="58.5" customHeight="1" hidden="1" thickBot="1">
      <c r="B39" s="36" t="s">
        <v>767</v>
      </c>
      <c r="C39" s="92" t="s">
        <v>766</v>
      </c>
      <c r="D39" s="93"/>
      <c r="E39" s="247"/>
      <c r="F39" s="1"/>
      <c r="G39" s="100"/>
      <c r="H39" s="90"/>
    </row>
    <row r="40" spans="2:7" s="91" customFormat="1" ht="37.5" customHeight="1" hidden="1" thickBot="1">
      <c r="B40" s="36" t="s">
        <v>668</v>
      </c>
      <c r="C40" s="94" t="s">
        <v>661</v>
      </c>
      <c r="D40" s="95"/>
      <c r="E40" s="246"/>
      <c r="F40" s="1"/>
      <c r="G40" s="100"/>
    </row>
    <row r="41" spans="2:6" s="91" customFormat="1" ht="27.75" customHeight="1" hidden="1" thickBot="1">
      <c r="B41" s="36" t="s">
        <v>799</v>
      </c>
      <c r="C41" s="94" t="s">
        <v>661</v>
      </c>
      <c r="D41" s="95"/>
      <c r="E41" s="246"/>
      <c r="F41" s="1"/>
    </row>
    <row r="42" spans="2:6" s="91" customFormat="1" ht="36" customHeight="1" hidden="1" thickBot="1">
      <c r="B42" s="36" t="s">
        <v>670</v>
      </c>
      <c r="C42" s="92" t="s">
        <v>684</v>
      </c>
      <c r="D42" s="101"/>
      <c r="E42" s="249"/>
      <c r="F42" s="1"/>
    </row>
    <row r="43" spans="2:6" s="91" customFormat="1" ht="51" customHeight="1" hidden="1" thickBot="1">
      <c r="B43" s="36" t="s">
        <v>874</v>
      </c>
      <c r="C43" s="94" t="s">
        <v>661</v>
      </c>
      <c r="D43" s="95"/>
      <c r="E43" s="246"/>
      <c r="F43" s="1"/>
    </row>
    <row r="44" spans="2:6" s="91" customFormat="1" ht="18.75" customHeight="1" thickBot="1">
      <c r="B44" s="102" t="s">
        <v>685</v>
      </c>
      <c r="C44" s="245" t="s">
        <v>817</v>
      </c>
      <c r="D44" s="93" t="s">
        <v>801</v>
      </c>
      <c r="E44" s="250">
        <v>30951.72</v>
      </c>
      <c r="F44" s="1"/>
    </row>
    <row r="45" spans="2:5" ht="36.75" customHeight="1" hidden="1" thickBot="1">
      <c r="B45" s="70" t="s">
        <v>802</v>
      </c>
      <c r="C45" s="47"/>
      <c r="D45" s="44"/>
      <c r="E45" s="174"/>
    </row>
    <row r="46" spans="2:5" ht="27.75" customHeight="1" thickBot="1">
      <c r="B46" s="14" t="s">
        <v>760</v>
      </c>
      <c r="C46" s="17"/>
      <c r="E46" s="87">
        <f>E48+E49+E50+E52+E53+E54+E56+E57+E58</f>
        <v>335698.75000000006</v>
      </c>
    </row>
    <row r="47" spans="2:5" ht="31.5" customHeight="1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4.25">
      <c r="B48" s="156" t="s">
        <v>816</v>
      </c>
      <c r="C48" s="74" t="s">
        <v>661</v>
      </c>
      <c r="D48" s="153"/>
      <c r="E48" s="177">
        <v>12184.14</v>
      </c>
    </row>
    <row r="49" spans="2:5" ht="14.25">
      <c r="B49" s="188" t="s">
        <v>928</v>
      </c>
      <c r="C49" s="74" t="s">
        <v>661</v>
      </c>
      <c r="D49" s="153"/>
      <c r="E49" s="177">
        <f>7386.96+4423.32+849.06</f>
        <v>12659.339999999998</v>
      </c>
    </row>
    <row r="50" spans="2:5" ht="14.25">
      <c r="B50" s="188" t="s">
        <v>1016</v>
      </c>
      <c r="C50" s="74" t="s">
        <v>661</v>
      </c>
      <c r="D50" s="153"/>
      <c r="E50" s="177">
        <v>180236.78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44382.97+13732.23</f>
        <v>58115.2</v>
      </c>
    </row>
    <row r="53" spans="2:5" ht="14.25">
      <c r="B53" s="157" t="s">
        <v>880</v>
      </c>
      <c r="C53" s="74" t="s">
        <v>661</v>
      </c>
      <c r="D53" s="153"/>
      <c r="E53" s="179">
        <f>5177.9+2585.16</f>
        <v>7763.0599999999995</v>
      </c>
    </row>
    <row r="54" spans="2:5" ht="14.25">
      <c r="B54" s="157" t="s">
        <v>925</v>
      </c>
      <c r="C54" s="74" t="s">
        <v>661</v>
      </c>
      <c r="D54" s="153"/>
      <c r="E54" s="180">
        <f>19129.35+2001.4</f>
        <v>21130.75</v>
      </c>
    </row>
    <row r="55" spans="2:5" ht="15">
      <c r="B55" s="151" t="s">
        <v>682</v>
      </c>
      <c r="C55" s="118"/>
      <c r="D55" s="153"/>
      <c r="E55" s="191"/>
    </row>
    <row r="56" spans="2:6" s="91" customFormat="1" ht="15">
      <c r="B56" s="159" t="s">
        <v>884</v>
      </c>
      <c r="C56" s="74" t="s">
        <v>661</v>
      </c>
      <c r="D56" s="153"/>
      <c r="E56" s="192">
        <v>26265.58</v>
      </c>
      <c r="F56" s="1"/>
    </row>
    <row r="57" spans="2:6" s="91" customFormat="1" ht="15">
      <c r="B57" s="159" t="s">
        <v>888</v>
      </c>
      <c r="C57" s="74" t="s">
        <v>661</v>
      </c>
      <c r="D57" s="153"/>
      <c r="E57" s="192">
        <f>1271.2+2817.69+874.48+5067.22+922.13+4345.87</f>
        <v>15298.59</v>
      </c>
      <c r="F57" s="1"/>
    </row>
    <row r="58" spans="2:6" s="91" customFormat="1" ht="15">
      <c r="B58" s="159" t="s">
        <v>929</v>
      </c>
      <c r="C58" s="74" t="s">
        <v>661</v>
      </c>
      <c r="D58" s="13"/>
      <c r="E58" s="85">
        <v>2045.31</v>
      </c>
      <c r="F58" s="1"/>
    </row>
    <row r="59" spans="2:6" s="91" customFormat="1" ht="15" hidden="1">
      <c r="B59" s="13"/>
      <c r="C59" s="13"/>
      <c r="D59" s="13"/>
      <c r="E59" s="85"/>
      <c r="F59" s="1"/>
    </row>
    <row r="60" spans="2:6" s="91" customFormat="1" ht="15" hidden="1">
      <c r="B60" s="117" t="s">
        <v>1014</v>
      </c>
      <c r="C60" s="13"/>
      <c r="D60" s="13"/>
      <c r="E60" s="85">
        <f>SUM(E48:E59)</f>
        <v>335698.75000000006</v>
      </c>
      <c r="F60" s="1"/>
    </row>
    <row r="61" spans="2:6" s="91" customFormat="1" ht="15">
      <c r="B61" s="103"/>
      <c r="C61" s="11"/>
      <c r="D61" s="11"/>
      <c r="E61" s="207"/>
      <c r="F61" s="1"/>
    </row>
    <row r="62" spans="2:6" s="91" customFormat="1" ht="15">
      <c r="B62" s="103"/>
      <c r="C62" s="11"/>
      <c r="D62" s="11"/>
      <c r="E62" s="11"/>
      <c r="F62" s="1"/>
    </row>
    <row r="63" spans="2:5" s="91" customFormat="1" ht="9" customHeight="1">
      <c r="B63" s="103"/>
      <c r="C63" s="11"/>
      <c r="D63" s="11"/>
      <c r="E63" s="11"/>
    </row>
    <row r="64" spans="2:5" s="91" customFormat="1" ht="15">
      <c r="B64" s="103"/>
      <c r="C64" s="11"/>
      <c r="D64" s="11"/>
      <c r="E64" s="11"/>
    </row>
    <row r="65" spans="2:5" s="91" customFormat="1" ht="15">
      <c r="B65" s="11"/>
      <c r="C65" s="11"/>
      <c r="D65" s="11"/>
      <c r="E65" s="11"/>
    </row>
    <row r="66" spans="2:5" s="91" customFormat="1" ht="15.75">
      <c r="B66" s="6" t="s">
        <v>830</v>
      </c>
      <c r="C66" s="6" t="s">
        <v>889</v>
      </c>
      <c r="D66" s="1"/>
      <c r="E66" s="1"/>
    </row>
    <row r="67" spans="2:5" s="91" customFormat="1" ht="15">
      <c r="B67" s="1"/>
      <c r="C67" s="1"/>
      <c r="D67" s="1"/>
      <c r="E67" s="1"/>
    </row>
  </sheetData>
  <sheetProtection/>
  <mergeCells count="15">
    <mergeCell ref="B21:E21"/>
    <mergeCell ref="B18:C18"/>
    <mergeCell ref="B2:C2"/>
    <mergeCell ref="B3:C3"/>
    <mergeCell ref="B4:C4"/>
    <mergeCell ref="B5:C5"/>
    <mergeCell ref="B7:C7"/>
    <mergeCell ref="B17:C17"/>
    <mergeCell ref="B15:C15"/>
    <mergeCell ref="B16:C16"/>
    <mergeCell ref="B20:E20"/>
    <mergeCell ref="B9:C10"/>
    <mergeCell ref="B12:C12"/>
    <mergeCell ref="B13:C13"/>
    <mergeCell ref="B14:C14"/>
  </mergeCells>
  <printOptions/>
  <pageMargins left="0" right="0" top="0.7874015748031497" bottom="0.787401574803149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99CC"/>
  </sheetPr>
  <dimension ref="A3:D91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57421875" style="0" hidden="1" customWidth="1"/>
    <col min="6" max="6" width="0" style="0" hidden="1" customWidth="1"/>
    <col min="8" max="8" width="10.28125" style="0" customWidth="1"/>
  </cols>
  <sheetData>
    <row r="3" spans="3:4" ht="12.75">
      <c r="C3" s="1382" t="s">
        <v>792</v>
      </c>
      <c r="D3" s="1382"/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2.75" customHeight="1">
      <c r="A8" s="26"/>
      <c r="B8" s="26"/>
      <c r="C8"/>
    </row>
    <row r="9" spans="1:4" ht="18" customHeight="1">
      <c r="A9" s="1343" t="s">
        <v>337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18">
        <v>99455.71</v>
      </c>
      <c r="D13" s="1319"/>
    </row>
    <row r="14" spans="1:4" ht="15">
      <c r="A14" s="471" t="s">
        <v>486</v>
      </c>
      <c r="B14" s="473"/>
      <c r="C14" s="1336">
        <v>1054629.78</v>
      </c>
      <c r="D14" s="1337"/>
    </row>
    <row r="15" spans="1:4" ht="15">
      <c r="A15" s="470" t="s">
        <v>647</v>
      </c>
      <c r="B15" s="474"/>
      <c r="C15" s="1338">
        <v>1008813.07</v>
      </c>
      <c r="D15" s="1339"/>
    </row>
    <row r="16" spans="1:4" ht="15">
      <c r="A16" s="475" t="s">
        <v>348</v>
      </c>
      <c r="B16" s="476"/>
      <c r="C16" s="1327">
        <f>C13+C14-C15</f>
        <v>145272.42000000004</v>
      </c>
      <c r="D16" s="1328"/>
    </row>
    <row r="17" spans="1:4" ht="14.25">
      <c r="A17" s="470" t="s">
        <v>540</v>
      </c>
      <c r="B17" s="527"/>
      <c r="C17" s="1329">
        <v>985408.94</v>
      </c>
      <c r="D17" s="1330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481" t="s">
        <v>477</v>
      </c>
      <c r="B22" s="482" t="s">
        <v>667</v>
      </c>
      <c r="C22" s="409" t="s">
        <v>673</v>
      </c>
      <c r="D22" s="453" t="s">
        <v>793</v>
      </c>
    </row>
    <row r="23" spans="1:4" ht="15.75">
      <c r="A23" s="1126" t="s">
        <v>913</v>
      </c>
      <c r="B23" s="1288"/>
      <c r="C23" s="564"/>
      <c r="D23" s="742"/>
    </row>
    <row r="24" spans="1:4" ht="26.25">
      <c r="A24" s="389" t="s">
        <v>105</v>
      </c>
      <c r="B24" s="391" t="s">
        <v>652</v>
      </c>
      <c r="C24" s="398"/>
      <c r="D24" s="393">
        <v>188897.01</v>
      </c>
    </row>
    <row r="25" spans="1:4" ht="15" customHeight="1">
      <c r="A25" s="686" t="s">
        <v>395</v>
      </c>
      <c r="B25" s="394"/>
      <c r="C25" s="395"/>
      <c r="D25" s="396">
        <v>15316.92</v>
      </c>
    </row>
    <row r="26" spans="1:4" ht="15">
      <c r="A26" s="478" t="s">
        <v>654</v>
      </c>
      <c r="B26" s="398" t="s">
        <v>656</v>
      </c>
      <c r="C26" s="392" t="s">
        <v>801</v>
      </c>
      <c r="D26" s="393">
        <v>110671.5</v>
      </c>
    </row>
    <row r="27" spans="1:4" ht="24.75">
      <c r="A27" s="478" t="s">
        <v>14</v>
      </c>
      <c r="B27" s="397" t="s">
        <v>657</v>
      </c>
      <c r="C27" s="404"/>
      <c r="D27" s="396">
        <v>138353.71</v>
      </c>
    </row>
    <row r="28" spans="1:4" ht="15.75" thickBot="1">
      <c r="A28" s="478" t="s">
        <v>799</v>
      </c>
      <c r="B28" s="609"/>
      <c r="C28" s="617"/>
      <c r="D28" s="618">
        <v>63040.72</v>
      </c>
    </row>
    <row r="29" spans="1:4" ht="15.75" thickBot="1">
      <c r="A29" s="805" t="s">
        <v>701</v>
      </c>
      <c r="B29" s="980"/>
      <c r="C29" s="796"/>
      <c r="D29" s="940">
        <v>516279.86</v>
      </c>
    </row>
    <row r="30" spans="1:4" ht="15.75" thickBot="1">
      <c r="A30" s="487" t="s">
        <v>914</v>
      </c>
      <c r="B30" s="461"/>
      <c r="C30" s="462"/>
      <c r="D30" s="463"/>
    </row>
    <row r="31" spans="1:4" ht="24">
      <c r="A31" s="943" t="s">
        <v>194</v>
      </c>
      <c r="B31" s="433" t="s">
        <v>920</v>
      </c>
      <c r="C31" s="443" t="s">
        <v>673</v>
      </c>
      <c r="D31" s="444" t="s">
        <v>793</v>
      </c>
    </row>
    <row r="32" spans="1:4" ht="15.75">
      <c r="A32" s="488" t="s">
        <v>597</v>
      </c>
      <c r="B32" s="382" t="s">
        <v>817</v>
      </c>
      <c r="C32" s="720">
        <v>1</v>
      </c>
      <c r="D32" s="421">
        <v>94225.52</v>
      </c>
    </row>
    <row r="33" spans="1:4" ht="15.75">
      <c r="A33" s="488" t="s">
        <v>738</v>
      </c>
      <c r="B33" s="382"/>
      <c r="C33" s="720">
        <v>1</v>
      </c>
      <c r="D33" s="421">
        <v>17881.77</v>
      </c>
    </row>
    <row r="34" spans="1:4" ht="15.75">
      <c r="A34" s="488" t="s">
        <v>958</v>
      </c>
      <c r="B34" s="358"/>
      <c r="C34" s="366">
        <v>1</v>
      </c>
      <c r="D34" s="421">
        <v>10431</v>
      </c>
    </row>
    <row r="35" spans="1:4" ht="30.75">
      <c r="A35" s="851" t="s">
        <v>959</v>
      </c>
      <c r="B35" s="358" t="s">
        <v>40</v>
      </c>
      <c r="C35" s="366">
        <v>1</v>
      </c>
      <c r="D35" s="421">
        <v>841.74</v>
      </c>
    </row>
    <row r="36" spans="1:4" ht="15.75">
      <c r="A36" s="488" t="s">
        <v>176</v>
      </c>
      <c r="B36" s="358" t="s">
        <v>40</v>
      </c>
      <c r="C36" s="366">
        <v>1</v>
      </c>
      <c r="D36" s="532">
        <v>2346.89</v>
      </c>
    </row>
    <row r="37" spans="1:4" ht="16.5" thickBot="1">
      <c r="A37" s="1152" t="s">
        <v>701</v>
      </c>
      <c r="B37" s="976"/>
      <c r="C37" s="1153"/>
      <c r="D37" s="1041">
        <v>125726.92</v>
      </c>
    </row>
    <row r="38" spans="1:4" ht="15">
      <c r="A38" s="808" t="s">
        <v>457</v>
      </c>
      <c r="B38" s="1150"/>
      <c r="C38" s="377"/>
      <c r="D38" s="598"/>
    </row>
    <row r="39" spans="1:4" ht="15">
      <c r="A39" s="377" t="s">
        <v>299</v>
      </c>
      <c r="B39" s="963" t="s">
        <v>40</v>
      </c>
      <c r="C39" s="534">
        <v>1</v>
      </c>
      <c r="D39" s="598">
        <v>1550.73</v>
      </c>
    </row>
    <row r="40" spans="1:4" ht="15">
      <c r="A40" s="377" t="s">
        <v>225</v>
      </c>
      <c r="B40" s="1289" t="s">
        <v>52</v>
      </c>
      <c r="C40" s="534">
        <v>1</v>
      </c>
      <c r="D40" s="598">
        <v>707.52</v>
      </c>
    </row>
    <row r="41" spans="1:4" ht="15">
      <c r="A41" s="377" t="s">
        <v>393</v>
      </c>
      <c r="B41" s="1154"/>
      <c r="C41" s="534">
        <v>5</v>
      </c>
      <c r="D41" s="598">
        <v>2979.57</v>
      </c>
    </row>
    <row r="42" spans="1:4" ht="15">
      <c r="A42" s="389" t="s">
        <v>239</v>
      </c>
      <c r="B42" s="746" t="s">
        <v>40</v>
      </c>
      <c r="C42" s="491">
        <v>4</v>
      </c>
      <c r="D42" s="402">
        <v>9688.59</v>
      </c>
    </row>
    <row r="43" spans="1:4" ht="15.75" thickBot="1">
      <c r="A43" s="1016" t="s">
        <v>378</v>
      </c>
      <c r="B43" s="381" t="s">
        <v>40</v>
      </c>
      <c r="C43" s="836">
        <v>1</v>
      </c>
      <c r="D43" s="835">
        <v>26603</v>
      </c>
    </row>
    <row r="44" spans="1:4" ht="15.75" thickBot="1">
      <c r="A44" s="806" t="s">
        <v>701</v>
      </c>
      <c r="B44" s="957"/>
      <c r="C44" s="462"/>
      <c r="D44" s="858">
        <v>41529.41</v>
      </c>
    </row>
    <row r="45" spans="1:4" ht="15">
      <c r="A45" s="513" t="s">
        <v>780</v>
      </c>
      <c r="B45" s="385"/>
      <c r="C45" s="652"/>
      <c r="D45" s="441"/>
    </row>
    <row r="46" spans="1:4" ht="15.75">
      <c r="A46" s="554" t="s">
        <v>174</v>
      </c>
      <c r="B46" s="358" t="s">
        <v>40</v>
      </c>
      <c r="C46" s="615">
        <v>2</v>
      </c>
      <c r="D46" s="532">
        <v>1410.29</v>
      </c>
    </row>
    <row r="47" spans="1:4" ht="16.5" thickBot="1">
      <c r="A47" s="833" t="s">
        <v>197</v>
      </c>
      <c r="B47" s="381" t="s">
        <v>40</v>
      </c>
      <c r="C47" s="616">
        <v>3</v>
      </c>
      <c r="D47" s="541">
        <v>1757.33</v>
      </c>
    </row>
    <row r="48" spans="1:4" ht="16.5" thickBot="1">
      <c r="A48" s="829" t="s">
        <v>701</v>
      </c>
      <c r="B48" s="957"/>
      <c r="C48" s="550"/>
      <c r="D48" s="858">
        <v>3167.62</v>
      </c>
    </row>
    <row r="49" spans="1:4" ht="15">
      <c r="A49" s="808" t="s">
        <v>424</v>
      </c>
      <c r="B49" s="760"/>
      <c r="C49" s="377"/>
      <c r="D49" s="896"/>
    </row>
    <row r="50" spans="1:4" ht="15.75" thickBot="1">
      <c r="A50" s="807" t="s">
        <v>695</v>
      </c>
      <c r="B50" s="381"/>
      <c r="C50" s="807">
        <v>1</v>
      </c>
      <c r="D50" s="424">
        <v>1485.33</v>
      </c>
    </row>
    <row r="51" spans="1:4" ht="15.75" thickBot="1">
      <c r="A51" s="806" t="s">
        <v>701</v>
      </c>
      <c r="B51" s="957"/>
      <c r="C51" s="803"/>
      <c r="D51" s="841">
        <v>1485.33</v>
      </c>
    </row>
    <row r="52" spans="1:4" ht="15.75">
      <c r="A52" s="876" t="s">
        <v>425</v>
      </c>
      <c r="B52" s="382"/>
      <c r="C52" s="652"/>
      <c r="D52" s="835"/>
    </row>
    <row r="53" spans="1:4" ht="15">
      <c r="A53" s="359" t="s">
        <v>960</v>
      </c>
      <c r="B53" s="358" t="s">
        <v>961</v>
      </c>
      <c r="C53" s="615"/>
      <c r="D53" s="541">
        <v>598.64</v>
      </c>
    </row>
    <row r="54" spans="1:4" ht="15">
      <c r="A54" s="359" t="s">
        <v>882</v>
      </c>
      <c r="B54" s="358"/>
      <c r="C54" s="615">
        <v>9</v>
      </c>
      <c r="D54" s="541">
        <v>12335.92</v>
      </c>
    </row>
    <row r="55" spans="1:4" ht="15">
      <c r="A55" s="359" t="s">
        <v>479</v>
      </c>
      <c r="B55" s="364" t="s">
        <v>52</v>
      </c>
      <c r="C55" s="615">
        <v>4</v>
      </c>
      <c r="D55" s="541">
        <v>3817.31</v>
      </c>
    </row>
    <row r="56" spans="1:4" ht="15.75">
      <c r="A56" s="554" t="s">
        <v>962</v>
      </c>
      <c r="B56" s="364" t="s">
        <v>40</v>
      </c>
      <c r="C56" s="615">
        <v>1</v>
      </c>
      <c r="D56" s="541">
        <v>4048.75</v>
      </c>
    </row>
    <row r="57" spans="1:4" ht="16.5" thickBot="1">
      <c r="A57" s="833" t="s">
        <v>963</v>
      </c>
      <c r="B57" s="978" t="s">
        <v>81</v>
      </c>
      <c r="C57" s="616">
        <v>1</v>
      </c>
      <c r="D57" s="541">
        <v>1130.56</v>
      </c>
    </row>
    <row r="58" spans="1:4" ht="15.75" thickBot="1">
      <c r="A58" s="806" t="s">
        <v>701</v>
      </c>
      <c r="B58" s="1018"/>
      <c r="C58" s="550"/>
      <c r="D58" s="858">
        <v>21931.18</v>
      </c>
    </row>
    <row r="59" spans="1:4" ht="15">
      <c r="A59" s="890" t="s">
        <v>964</v>
      </c>
      <c r="B59" s="760"/>
      <c r="C59" s="441"/>
      <c r="D59" s="598"/>
    </row>
    <row r="60" spans="1:4" ht="15">
      <c r="A60" s="387" t="s">
        <v>886</v>
      </c>
      <c r="B60" s="364" t="s">
        <v>40</v>
      </c>
      <c r="C60" s="421">
        <v>14</v>
      </c>
      <c r="D60" s="532">
        <v>8713.62</v>
      </c>
    </row>
    <row r="61" spans="1:4" ht="15">
      <c r="A61" s="387" t="s">
        <v>965</v>
      </c>
      <c r="B61" s="364" t="s">
        <v>52</v>
      </c>
      <c r="C61" s="421">
        <v>2</v>
      </c>
      <c r="D61" s="532">
        <v>1521.76</v>
      </c>
    </row>
    <row r="62" spans="1:4" ht="15">
      <c r="A62" s="387" t="s">
        <v>951</v>
      </c>
      <c r="B62" s="364" t="s">
        <v>40</v>
      </c>
      <c r="C62" s="421">
        <v>2</v>
      </c>
      <c r="D62" s="532">
        <v>728.07</v>
      </c>
    </row>
    <row r="63" spans="1:4" ht="15.75" thickBot="1">
      <c r="A63" s="807" t="s">
        <v>782</v>
      </c>
      <c r="B63" s="381"/>
      <c r="C63" s="1014">
        <v>5</v>
      </c>
      <c r="D63" s="439">
        <v>3646.44</v>
      </c>
    </row>
    <row r="64" spans="1:4" ht="15.75" thickBot="1">
      <c r="A64" s="806" t="s">
        <v>701</v>
      </c>
      <c r="B64" s="1156"/>
      <c r="C64" s="1070"/>
      <c r="D64" s="863">
        <v>14609.89</v>
      </c>
    </row>
    <row r="65" spans="1:4" ht="15.75" thickBot="1">
      <c r="A65" s="806" t="s">
        <v>375</v>
      </c>
      <c r="B65" s="957"/>
      <c r="C65" s="1070"/>
      <c r="D65" s="858">
        <v>208450.35</v>
      </c>
    </row>
    <row r="66" spans="1:4" ht="15.75">
      <c r="A66" s="547"/>
      <c r="B66" s="760"/>
      <c r="C66" s="652"/>
      <c r="D66" s="836"/>
    </row>
    <row r="67" spans="1:4" ht="15.75">
      <c r="A67" s="1056" t="s">
        <v>957</v>
      </c>
      <c r="B67" s="358"/>
      <c r="C67" s="615"/>
      <c r="D67" s="1039">
        <v>40980.9</v>
      </c>
    </row>
    <row r="68" spans="1:4" ht="15">
      <c r="A68" s="1151" t="s">
        <v>904</v>
      </c>
      <c r="B68" s="358"/>
      <c r="C68" s="615"/>
      <c r="D68" s="891">
        <v>37706.8</v>
      </c>
    </row>
    <row r="69" spans="1:4" ht="15">
      <c r="A69" s="513" t="s">
        <v>735</v>
      </c>
      <c r="B69" s="368"/>
      <c r="C69" s="615"/>
      <c r="D69" s="428">
        <v>181991.03</v>
      </c>
    </row>
    <row r="70" spans="1:4" ht="15.75" thickBot="1">
      <c r="A70" s="526"/>
      <c r="B70" s="381"/>
      <c r="C70" s="882"/>
      <c r="D70" s="541"/>
    </row>
    <row r="71" spans="1:4" ht="13.5" customHeight="1">
      <c r="A71" s="879" t="s">
        <v>956</v>
      </c>
      <c r="B71" s="1161"/>
      <c r="C71" s="850"/>
      <c r="D71" s="1059">
        <v>985408.94</v>
      </c>
    </row>
    <row r="72" spans="1:4" ht="13.5" customHeight="1" thickBot="1">
      <c r="A72" s="838"/>
      <c r="B72" s="358"/>
      <c r="C72" s="439"/>
      <c r="D72" s="1039"/>
    </row>
    <row r="73" spans="1:4" ht="15">
      <c r="A73" s="163"/>
      <c r="B73" s="164"/>
      <c r="C73" s="1270" t="s">
        <v>28</v>
      </c>
      <c r="D73" s="1271" t="s">
        <v>30</v>
      </c>
    </row>
    <row r="74" spans="1:4" ht="13.5" thickBot="1">
      <c r="A74" s="764"/>
      <c r="B74" s="361"/>
      <c r="C74" s="1269" t="s">
        <v>352</v>
      </c>
      <c r="D74" s="1272" t="s">
        <v>1022</v>
      </c>
    </row>
    <row r="75" spans="1:4" ht="15">
      <c r="A75" s="1251" t="s">
        <v>568</v>
      </c>
      <c r="B75" s="1257"/>
      <c r="C75" s="1263">
        <v>0</v>
      </c>
      <c r="D75" s="1263">
        <v>318579.19</v>
      </c>
    </row>
    <row r="76" spans="1:4" ht="15">
      <c r="A76" s="1332" t="s">
        <v>569</v>
      </c>
      <c r="B76" s="1332"/>
      <c r="C76" s="628">
        <v>1008813.07</v>
      </c>
      <c r="D76" s="608">
        <v>0</v>
      </c>
    </row>
    <row r="77" spans="1:4" ht="15">
      <c r="A77" s="1332" t="s">
        <v>570</v>
      </c>
      <c r="B77" s="1332"/>
      <c r="C77" s="607">
        <v>985408.94</v>
      </c>
      <c r="D77" s="608">
        <v>238823</v>
      </c>
    </row>
    <row r="78" spans="1:4" ht="15">
      <c r="A78" s="1333" t="s">
        <v>571</v>
      </c>
      <c r="B78" s="1333"/>
      <c r="C78" s="629">
        <v>-23404.13</v>
      </c>
      <c r="D78" s="629">
        <v>-79756.19</v>
      </c>
    </row>
    <row r="79" spans="1:4" ht="15">
      <c r="A79" s="1332" t="s">
        <v>179</v>
      </c>
      <c r="B79" s="1332"/>
      <c r="C79" s="1258">
        <v>-23404.13</v>
      </c>
      <c r="D79" s="630">
        <v>-79756.19</v>
      </c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 t="s">
        <v>180</v>
      </c>
      <c r="B83" s="538"/>
      <c r="C83" s="1259" t="s">
        <v>573</v>
      </c>
      <c r="D83" s="1260"/>
    </row>
    <row r="84" spans="1:4" ht="15">
      <c r="A84" s="538"/>
      <c r="B84" s="538"/>
      <c r="C84" s="1259"/>
      <c r="D84" s="1260"/>
    </row>
    <row r="85" ht="12.75">
      <c r="A85" s="735" t="s">
        <v>357</v>
      </c>
    </row>
    <row r="86" ht="12.75">
      <c r="A86" s="735" t="s">
        <v>906</v>
      </c>
    </row>
    <row r="87" ht="12.75">
      <c r="A87" s="735" t="s">
        <v>358</v>
      </c>
    </row>
    <row r="89" ht="12.75">
      <c r="A89" s="735"/>
    </row>
    <row r="90" ht="12.75">
      <c r="A90" s="735"/>
    </row>
    <row r="91" ht="12.75">
      <c r="A91" s="735"/>
    </row>
  </sheetData>
  <sheetProtection/>
  <mergeCells count="19">
    <mergeCell ref="A7:B7"/>
    <mergeCell ref="A9:B9"/>
    <mergeCell ref="C3:D3"/>
    <mergeCell ref="A4:B4"/>
    <mergeCell ref="A5:B5"/>
    <mergeCell ref="A6:B6"/>
    <mergeCell ref="A20:D20"/>
    <mergeCell ref="C13:D13"/>
    <mergeCell ref="C14:D14"/>
    <mergeCell ref="C15:D15"/>
    <mergeCell ref="C16:D16"/>
    <mergeCell ref="A11:B12"/>
    <mergeCell ref="C11:D12"/>
    <mergeCell ref="C17:D17"/>
    <mergeCell ref="A19:D19"/>
    <mergeCell ref="A76:B76"/>
    <mergeCell ref="A77:B77"/>
    <mergeCell ref="A78:B78"/>
    <mergeCell ref="A79:B79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32">
      <selection activeCell="B47" sqref="B47"/>
    </sheetView>
  </sheetViews>
  <sheetFormatPr defaultColWidth="9.140625" defaultRowHeight="12.75"/>
  <cols>
    <col min="1" max="1" width="0.85546875" style="1" customWidth="1"/>
    <col min="2" max="2" width="62.00390625" style="1" customWidth="1"/>
    <col min="3" max="3" width="9.28125" style="1" customWidth="1"/>
    <col min="4" max="4" width="15.421875" style="1" customWidth="1"/>
    <col min="5" max="5" width="14.7109375" style="1" customWidth="1"/>
    <col min="6" max="6" width="16.0039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823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96828.72+611.94</f>
        <v>97440.66</v>
      </c>
      <c r="E11" s="25">
        <v>14320.16</v>
      </c>
    </row>
    <row r="12" spans="2:5" ht="16.5" thickBot="1">
      <c r="B12" s="1398" t="s">
        <v>646</v>
      </c>
      <c r="C12" s="1399"/>
      <c r="D12" s="25">
        <f>637449.15+2916.12</f>
        <v>640365.27</v>
      </c>
      <c r="E12" s="25">
        <v>28771.55</v>
      </c>
    </row>
    <row r="13" spans="2:5" ht="16.5" thickBot="1">
      <c r="B13" s="1398" t="s">
        <v>647</v>
      </c>
      <c r="C13" s="1399"/>
      <c r="D13" s="25">
        <f>603113.33+3264.77</f>
        <v>606378.1</v>
      </c>
      <c r="E13" s="25">
        <v>43091.71</v>
      </c>
    </row>
    <row r="14" spans="2:5" ht="16.5" hidden="1" thickBot="1">
      <c r="B14" s="1398" t="s">
        <v>666</v>
      </c>
      <c r="C14" s="1399"/>
      <c r="D14" s="25"/>
      <c r="E14" s="25"/>
    </row>
    <row r="15" spans="2:5" ht="16.5" thickBot="1">
      <c r="B15" s="1398" t="s">
        <v>648</v>
      </c>
      <c r="C15" s="1399"/>
      <c r="D15" s="25">
        <f>D11+D12-D13</f>
        <v>131427.83000000007</v>
      </c>
      <c r="E15" s="25">
        <f>E11+E12-E13</f>
        <v>0</v>
      </c>
    </row>
    <row r="16" spans="2:5" ht="16.5" thickBot="1">
      <c r="B16" s="1398" t="s">
        <v>806</v>
      </c>
      <c r="C16" s="1399"/>
      <c r="D16" s="75">
        <f>E22+E57</f>
        <v>647013.24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48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E23+E29+E31+E32+E42</f>
        <v>351903.82999999996</v>
      </c>
    </row>
    <row r="23" spans="1:5" s="82" customFormat="1" ht="32.25" thickBot="1">
      <c r="A23" s="103"/>
      <c r="B23" s="67" t="s">
        <v>662</v>
      </c>
      <c r="C23" s="104" t="s">
        <v>652</v>
      </c>
      <c r="D23" s="93"/>
      <c r="E23" s="109">
        <v>148509.5</v>
      </c>
    </row>
    <row r="24" spans="2:5" s="82" customFormat="1" ht="32.25" hidden="1" thickBot="1">
      <c r="B24" s="67" t="s">
        <v>686</v>
      </c>
      <c r="C24" s="105" t="s">
        <v>661</v>
      </c>
      <c r="D24" s="95"/>
      <c r="E24" s="246"/>
    </row>
    <row r="25" spans="2:5" s="82" customFormat="1" ht="16.5" hidden="1" thickBot="1">
      <c r="B25" s="67" t="s">
        <v>765</v>
      </c>
      <c r="C25" s="105" t="s">
        <v>661</v>
      </c>
      <c r="D25" s="95"/>
      <c r="E25" s="246"/>
    </row>
    <row r="26" spans="2:5" s="82" customFormat="1" ht="39.75" hidden="1" thickBot="1">
      <c r="B26" s="67" t="s">
        <v>655</v>
      </c>
      <c r="C26" s="104" t="s">
        <v>653</v>
      </c>
      <c r="D26" s="106"/>
      <c r="E26" s="253"/>
    </row>
    <row r="27" spans="2:5" s="82" customFormat="1" ht="48" hidden="1" thickBot="1">
      <c r="B27" s="67" t="s">
        <v>796</v>
      </c>
      <c r="C27" s="105" t="s">
        <v>661</v>
      </c>
      <c r="D27" s="95"/>
      <c r="E27" s="246"/>
    </row>
    <row r="28" spans="2:5" s="82" customFormat="1" ht="48" hidden="1" thickBot="1">
      <c r="B28" s="67" t="s">
        <v>797</v>
      </c>
      <c r="C28" s="105" t="s">
        <v>661</v>
      </c>
      <c r="D28" s="95"/>
      <c r="E28" s="246"/>
    </row>
    <row r="29" spans="2:5" s="82" customFormat="1" ht="16.5" thickBot="1">
      <c r="B29" s="67" t="s">
        <v>654</v>
      </c>
      <c r="C29" s="107" t="s">
        <v>656</v>
      </c>
      <c r="D29" s="93" t="s">
        <v>801</v>
      </c>
      <c r="E29" s="109">
        <v>94856.25</v>
      </c>
    </row>
    <row r="30" spans="2:5" s="82" customFormat="1" ht="32.25" hidden="1" thickBot="1">
      <c r="B30" s="67" t="s">
        <v>872</v>
      </c>
      <c r="C30" s="105" t="s">
        <v>661</v>
      </c>
      <c r="D30" s="94" t="s">
        <v>822</v>
      </c>
      <c r="E30" s="246"/>
    </row>
    <row r="31" spans="2:5" s="82" customFormat="1" ht="27" thickBot="1">
      <c r="B31" s="67" t="s">
        <v>658</v>
      </c>
      <c r="C31" s="104" t="s">
        <v>657</v>
      </c>
      <c r="D31" s="93"/>
      <c r="E31" s="109">
        <v>87124.1</v>
      </c>
    </row>
    <row r="32" spans="2:5" s="82" customFormat="1" ht="27.75" customHeight="1" thickBot="1">
      <c r="B32" s="67" t="s">
        <v>879</v>
      </c>
      <c r="C32" s="104" t="s">
        <v>661</v>
      </c>
      <c r="D32" s="108"/>
      <c r="E32" s="109">
        <f>622.22+1579.54</f>
        <v>2201.76</v>
      </c>
    </row>
    <row r="33" spans="2:5" s="82" customFormat="1" ht="27" hidden="1" thickBot="1">
      <c r="B33" s="67" t="s">
        <v>758</v>
      </c>
      <c r="C33" s="104" t="s">
        <v>665</v>
      </c>
      <c r="D33" s="93"/>
      <c r="E33" s="247"/>
    </row>
    <row r="34" spans="2:5" s="82" customFormat="1" ht="32.25" hidden="1" thickBot="1">
      <c r="B34" s="67" t="s">
        <v>664</v>
      </c>
      <c r="C34" s="105" t="s">
        <v>661</v>
      </c>
      <c r="D34" s="95"/>
      <c r="E34" s="246"/>
    </row>
    <row r="35" spans="2:5" s="82" customFormat="1" ht="32.25" hidden="1" thickBot="1">
      <c r="B35" s="67" t="s">
        <v>671</v>
      </c>
      <c r="C35" s="105" t="s">
        <v>661</v>
      </c>
      <c r="D35" s="99"/>
      <c r="E35" s="248"/>
    </row>
    <row r="36" spans="2:5" s="82" customFormat="1" ht="95.25" hidden="1" thickBot="1">
      <c r="B36" s="67" t="s">
        <v>790</v>
      </c>
      <c r="C36" s="105" t="s">
        <v>661</v>
      </c>
      <c r="D36" s="95"/>
      <c r="E36" s="246"/>
    </row>
    <row r="37" spans="2:5" s="82" customFormat="1" ht="63.75" hidden="1" thickBot="1">
      <c r="B37" s="67" t="s">
        <v>767</v>
      </c>
      <c r="C37" s="104" t="s">
        <v>766</v>
      </c>
      <c r="D37" s="93"/>
      <c r="E37" s="247"/>
    </row>
    <row r="38" spans="2:5" s="82" customFormat="1" ht="32.25" hidden="1" thickBot="1">
      <c r="B38" s="67" t="s">
        <v>668</v>
      </c>
      <c r="C38" s="105" t="s">
        <v>661</v>
      </c>
      <c r="D38" s="95"/>
      <c r="E38" s="246"/>
    </row>
    <row r="39" spans="2:5" s="82" customFormat="1" ht="16.5" hidden="1" thickBot="1">
      <c r="B39" s="67" t="s">
        <v>799</v>
      </c>
      <c r="C39" s="105" t="s">
        <v>661</v>
      </c>
      <c r="D39" s="95"/>
      <c r="E39" s="246"/>
    </row>
    <row r="40" spans="2:5" s="82" customFormat="1" ht="52.5" hidden="1" thickBot="1">
      <c r="B40" s="67" t="s">
        <v>670</v>
      </c>
      <c r="C40" s="104" t="s">
        <v>684</v>
      </c>
      <c r="D40" s="101"/>
      <c r="E40" s="249"/>
    </row>
    <row r="41" spans="2:5" s="82" customFormat="1" ht="48" hidden="1" thickBot="1">
      <c r="B41" s="67" t="s">
        <v>800</v>
      </c>
      <c r="C41" s="105" t="s">
        <v>661</v>
      </c>
      <c r="D41" s="95"/>
      <c r="E41" s="246"/>
    </row>
    <row r="42" spans="2:5" s="82" customFormat="1" ht="16.5" thickBot="1">
      <c r="B42" s="69" t="s">
        <v>685</v>
      </c>
      <c r="C42" s="245" t="s">
        <v>817</v>
      </c>
      <c r="D42" s="93" t="s">
        <v>801</v>
      </c>
      <c r="E42" s="250">
        <v>19212.22</v>
      </c>
    </row>
    <row r="43" spans="2:5" ht="32.25" hidden="1" thickBot="1">
      <c r="B43" s="70" t="s">
        <v>802</v>
      </c>
      <c r="C43" s="47"/>
      <c r="D43" s="44"/>
      <c r="E43" s="174"/>
    </row>
    <row r="44" spans="2:7" ht="30.75" customHeight="1" thickBot="1">
      <c r="B44" s="14" t="s">
        <v>760</v>
      </c>
      <c r="C44" s="17"/>
      <c r="E44" s="241">
        <f>E57</f>
        <v>295109.41</v>
      </c>
      <c r="G44" t="s">
        <v>1024</v>
      </c>
    </row>
    <row r="45" spans="2:5" ht="24.75" thickBot="1">
      <c r="B45" s="150" t="s">
        <v>672</v>
      </c>
      <c r="C45" s="15" t="s">
        <v>920</v>
      </c>
      <c r="D45" s="49" t="s">
        <v>673</v>
      </c>
      <c r="E45" s="176" t="s">
        <v>793</v>
      </c>
    </row>
    <row r="46" spans="2:5" ht="14.25">
      <c r="B46" s="188" t="s">
        <v>928</v>
      </c>
      <c r="C46" s="74" t="s">
        <v>661</v>
      </c>
      <c r="D46" s="153"/>
      <c r="E46" s="177">
        <f>1465.22+10442.32+6099</f>
        <v>18006.54</v>
      </c>
    </row>
    <row r="47" spans="2:5" ht="14.25">
      <c r="B47" s="188" t="s">
        <v>1000</v>
      </c>
      <c r="C47" s="74" t="s">
        <v>661</v>
      </c>
      <c r="D47" s="153"/>
      <c r="E47" s="177">
        <v>44341.58</v>
      </c>
    </row>
    <row r="48" spans="2:5" ht="14.25">
      <c r="B48" s="151" t="s">
        <v>676</v>
      </c>
      <c r="C48" s="116"/>
      <c r="D48" s="153"/>
      <c r="E48" s="177"/>
    </row>
    <row r="49" spans="2:5" ht="14.25">
      <c r="B49" s="132" t="s">
        <v>883</v>
      </c>
      <c r="C49" s="74" t="s">
        <v>661</v>
      </c>
      <c r="D49" s="153"/>
      <c r="E49" s="179">
        <f>136.82+66797.44+3977.17</f>
        <v>70911.43000000001</v>
      </c>
    </row>
    <row r="50" spans="2:5" ht="14.25">
      <c r="B50" s="157" t="s">
        <v>880</v>
      </c>
      <c r="C50" s="74" t="s">
        <v>661</v>
      </c>
      <c r="D50" s="153"/>
      <c r="E50" s="179">
        <v>3962.3</v>
      </c>
    </row>
    <row r="51" spans="2:5" ht="14.25">
      <c r="B51" s="157" t="s">
        <v>925</v>
      </c>
      <c r="C51" s="74" t="s">
        <v>661</v>
      </c>
      <c r="D51" s="153"/>
      <c r="E51" s="180">
        <f>126293.93+3969.2</f>
        <v>130263.12999999999</v>
      </c>
    </row>
    <row r="52" spans="2:5" ht="15">
      <c r="B52" s="151" t="s">
        <v>682</v>
      </c>
      <c r="C52" s="118"/>
      <c r="D52" s="153"/>
      <c r="E52" s="191"/>
    </row>
    <row r="53" spans="2:5" ht="14.25">
      <c r="B53" s="159" t="s">
        <v>884</v>
      </c>
      <c r="C53" s="74" t="s">
        <v>661</v>
      </c>
      <c r="D53" s="153"/>
      <c r="E53" s="192">
        <v>12940.39</v>
      </c>
    </row>
    <row r="54" spans="2:5" ht="14.25">
      <c r="B54" s="159" t="s">
        <v>888</v>
      </c>
      <c r="C54" s="74" t="s">
        <v>661</v>
      </c>
      <c r="D54" s="153"/>
      <c r="E54" s="192">
        <f>4005.92+5698.03+950.08+184.3+634.13+1934.41</f>
        <v>13406.869999999999</v>
      </c>
    </row>
    <row r="55" spans="2:5" ht="14.25">
      <c r="B55" s="159" t="s">
        <v>929</v>
      </c>
      <c r="C55" s="74" t="s">
        <v>661</v>
      </c>
      <c r="D55" s="13"/>
      <c r="E55" s="85">
        <v>1277.17</v>
      </c>
    </row>
    <row r="56" spans="2:5" ht="12.75" hidden="1">
      <c r="B56" s="13"/>
      <c r="C56" s="13"/>
      <c r="D56" s="13"/>
      <c r="E56" s="85"/>
    </row>
    <row r="57" spans="2:5" ht="12.75" hidden="1">
      <c r="B57" s="117" t="s">
        <v>1014</v>
      </c>
      <c r="C57" s="13"/>
      <c r="D57" s="13"/>
      <c r="E57" s="85">
        <f>E46+E47+E49+E50+E51+E53+E54+E55</f>
        <v>295109.41</v>
      </c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1"/>
      <c r="C62" s="11"/>
      <c r="D62" s="11"/>
      <c r="E62" s="207"/>
    </row>
    <row r="63" spans="2:5" ht="15.75">
      <c r="B63" s="6" t="s">
        <v>830</v>
      </c>
      <c r="C63" s="6" t="s">
        <v>889</v>
      </c>
      <c r="E63" s="254"/>
    </row>
    <row r="64" spans="2:5" ht="15.75">
      <c r="B64" s="6"/>
      <c r="E64" s="254"/>
    </row>
    <row r="65" spans="2:5" ht="15.75">
      <c r="B65" s="6"/>
      <c r="E65" s="254"/>
    </row>
    <row r="66" spans="2:5" ht="15.75">
      <c r="B66" s="6"/>
      <c r="E66" s="254"/>
    </row>
    <row r="67" spans="2:5" ht="15.75">
      <c r="B67" s="6"/>
      <c r="E67" s="254"/>
    </row>
    <row r="68" spans="2:5" ht="12.75" hidden="1">
      <c r="B68" s="8" t="s">
        <v>763</v>
      </c>
      <c r="E68" s="254"/>
    </row>
    <row r="69" spans="2:5" ht="15.75" hidden="1">
      <c r="B69" s="31" t="s">
        <v>663</v>
      </c>
      <c r="C69" s="32"/>
      <c r="D69" s="32"/>
      <c r="E69" s="254"/>
    </row>
    <row r="70" spans="2:5" ht="15.75" hidden="1">
      <c r="B70" s="31" t="s">
        <v>764</v>
      </c>
      <c r="E70" s="254"/>
    </row>
    <row r="71" spans="2:5" ht="15.75" hidden="1">
      <c r="B71" s="31" t="s">
        <v>771</v>
      </c>
      <c r="E71" s="254"/>
    </row>
    <row r="72" ht="12.75">
      <c r="E72" s="254"/>
    </row>
    <row r="73" spans="2:5" ht="15.75">
      <c r="B73" s="7"/>
      <c r="E73" s="254"/>
    </row>
    <row r="74" ht="12.75">
      <c r="E74" s="254"/>
    </row>
    <row r="75" ht="12.75">
      <c r="E75" s="254"/>
    </row>
    <row r="76" ht="12.75">
      <c r="E76" s="254"/>
    </row>
    <row r="77" ht="12.75">
      <c r="E77" s="254"/>
    </row>
    <row r="78" ht="12.75">
      <c r="E78" s="254"/>
    </row>
    <row r="79" ht="12.75">
      <c r="E79" s="254"/>
    </row>
    <row r="80" ht="12.75">
      <c r="E80" s="254"/>
    </row>
    <row r="81" ht="12.75">
      <c r="E81" s="254"/>
    </row>
    <row r="82" ht="12.75">
      <c r="E82" s="254"/>
    </row>
    <row r="83" ht="12.75">
      <c r="E83" s="254"/>
    </row>
    <row r="84" ht="12.75">
      <c r="E84" s="254"/>
    </row>
    <row r="85" ht="12.75">
      <c r="E85" s="254"/>
    </row>
    <row r="86" ht="12.75">
      <c r="E86" s="254"/>
    </row>
    <row r="87" ht="12.75">
      <c r="E87" s="254"/>
    </row>
    <row r="88" ht="12.75">
      <c r="E88" s="254"/>
    </row>
    <row r="89" ht="12.75">
      <c r="E89" s="254"/>
    </row>
    <row r="90" ht="12.75">
      <c r="E90" s="254"/>
    </row>
    <row r="91" ht="12.75">
      <c r="E91" s="254"/>
    </row>
    <row r="92" ht="12.75">
      <c r="E92" s="254"/>
    </row>
    <row r="93" ht="12.75">
      <c r="E93" s="254"/>
    </row>
    <row r="94" ht="12.75">
      <c r="E94" s="254"/>
    </row>
    <row r="95" ht="12.75">
      <c r="E95" s="254"/>
    </row>
    <row r="96" ht="12.75">
      <c r="E96" s="254"/>
    </row>
    <row r="97" ht="12.75">
      <c r="E97" s="254"/>
    </row>
    <row r="98" ht="12.75">
      <c r="E98" s="254"/>
    </row>
    <row r="99" ht="12.75">
      <c r="E99" s="254"/>
    </row>
    <row r="100" ht="12.75">
      <c r="E100" s="254"/>
    </row>
    <row r="101" ht="12.75">
      <c r="E101" s="254"/>
    </row>
    <row r="102" ht="12.75">
      <c r="E102" s="254"/>
    </row>
  </sheetData>
  <sheetProtection/>
  <mergeCells count="13">
    <mergeCell ref="B7:C7"/>
    <mergeCell ref="B9:C10"/>
    <mergeCell ref="B19:E19"/>
    <mergeCell ref="B12:C12"/>
    <mergeCell ref="B13:C13"/>
    <mergeCell ref="B14:C14"/>
    <mergeCell ref="B15:C15"/>
    <mergeCell ref="B16:C16"/>
    <mergeCell ref="B18:E18"/>
    <mergeCell ref="B2:C2"/>
    <mergeCell ref="B3:C3"/>
    <mergeCell ref="B4:C4"/>
    <mergeCell ref="B5:C5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99CC"/>
  </sheetPr>
  <dimension ref="A2:H8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8" max="8" width="10.7109375" style="0" customWidth="1"/>
  </cols>
  <sheetData>
    <row r="2" spans="3:4" ht="12.75">
      <c r="C2" s="1364" t="s">
        <v>792</v>
      </c>
      <c r="D2" s="1364"/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804</v>
      </c>
      <c r="B6" s="1363"/>
      <c r="C6" s="91"/>
      <c r="D6" s="91"/>
    </row>
    <row r="7" spans="1:3" ht="14.25" customHeight="1">
      <c r="A7" s="26"/>
      <c r="B7" s="26"/>
      <c r="C7"/>
    </row>
    <row r="8" spans="1:4" ht="15">
      <c r="A8" s="1343" t="s">
        <v>338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1366" t="s">
        <v>642</v>
      </c>
      <c r="B10" s="1320"/>
      <c r="C10" s="792" t="s">
        <v>351</v>
      </c>
      <c r="D10" s="792" t="s">
        <v>469</v>
      </c>
    </row>
    <row r="11" spans="1:4" ht="13.5" thickBot="1">
      <c r="A11" s="1368"/>
      <c r="B11" s="1321"/>
      <c r="C11" s="786" t="s">
        <v>352</v>
      </c>
      <c r="D11" s="786" t="s">
        <v>184</v>
      </c>
    </row>
    <row r="12" spans="1:4" ht="15">
      <c r="A12" s="372" t="s">
        <v>347</v>
      </c>
      <c r="B12" s="778"/>
      <c r="C12" s="788">
        <v>211617.36</v>
      </c>
      <c r="D12" s="788">
        <v>0</v>
      </c>
    </row>
    <row r="13" spans="1:4" ht="14.25">
      <c r="A13" s="471" t="s">
        <v>486</v>
      </c>
      <c r="B13" s="538"/>
      <c r="C13" s="787">
        <v>668138.04</v>
      </c>
      <c r="D13" s="787">
        <v>21740</v>
      </c>
    </row>
    <row r="14" spans="1:4" ht="15" thickBot="1">
      <c r="A14" s="470" t="s">
        <v>647</v>
      </c>
      <c r="B14" s="527"/>
      <c r="C14" s="789">
        <v>635970.1</v>
      </c>
      <c r="D14" s="789">
        <v>18241.96</v>
      </c>
    </row>
    <row r="15" spans="1:7" ht="15.75" thickBot="1">
      <c r="A15" s="475" t="s">
        <v>348</v>
      </c>
      <c r="B15" s="353"/>
      <c r="C15" s="791">
        <f>C12+C13-C14</f>
        <v>243785.30000000005</v>
      </c>
      <c r="D15" s="791">
        <v>3498.04</v>
      </c>
      <c r="G15" t="s">
        <v>465</v>
      </c>
    </row>
    <row r="16" spans="1:4" ht="15" thickBot="1">
      <c r="A16" s="470" t="s">
        <v>539</v>
      </c>
      <c r="B16" s="527"/>
      <c r="C16" s="1255">
        <v>606414.38</v>
      </c>
      <c r="D16" s="790"/>
    </row>
    <row r="17" spans="2:4" ht="12.75">
      <c r="B17" s="83"/>
      <c r="C17" s="81"/>
      <c r="D17" s="314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346</v>
      </c>
      <c r="B19" s="1340"/>
      <c r="C19" s="1340"/>
      <c r="D19" s="1340"/>
    </row>
    <row r="20" spans="1:4" ht="12.75">
      <c r="A20" s="82"/>
      <c r="B20" s="82"/>
      <c r="C20" s="103"/>
      <c r="D20" s="82"/>
    </row>
    <row r="21" spans="1:4" ht="26.25" thickBot="1">
      <c r="A21" s="481" t="s">
        <v>477</v>
      </c>
      <c r="B21" s="482" t="s">
        <v>667</v>
      </c>
      <c r="C21" s="409" t="s">
        <v>673</v>
      </c>
      <c r="D21" s="453" t="s">
        <v>793</v>
      </c>
    </row>
    <row r="22" spans="1:4" ht="16.5" thickBot="1">
      <c r="A22" s="143" t="s">
        <v>913</v>
      </c>
      <c r="B22" s="692"/>
      <c r="C22" s="456"/>
      <c r="D22" s="664"/>
    </row>
    <row r="23" spans="1:4" ht="26.25">
      <c r="A23" s="537" t="s">
        <v>105</v>
      </c>
      <c r="B23" s="484" t="s">
        <v>652</v>
      </c>
      <c r="C23" s="485"/>
      <c r="D23" s="486">
        <v>116330.79</v>
      </c>
    </row>
    <row r="24" spans="1:4" ht="15">
      <c r="A24" s="389" t="s">
        <v>654</v>
      </c>
      <c r="B24" s="398" t="s">
        <v>656</v>
      </c>
      <c r="C24" s="392" t="s">
        <v>801</v>
      </c>
      <c r="D24" s="393">
        <v>68156.21</v>
      </c>
    </row>
    <row r="25" spans="1:4" ht="24.75">
      <c r="A25" s="389" t="s">
        <v>14</v>
      </c>
      <c r="B25" s="399" t="s">
        <v>657</v>
      </c>
      <c r="C25" s="508"/>
      <c r="D25" s="393">
        <v>85204.09</v>
      </c>
    </row>
    <row r="26" spans="1:4" ht="15">
      <c r="A26" s="537" t="s">
        <v>799</v>
      </c>
      <c r="B26" s="397"/>
      <c r="C26" s="404"/>
      <c r="D26" s="396">
        <v>19435.57</v>
      </c>
    </row>
    <row r="27" spans="1:4" ht="18.75" customHeight="1" thickBot="1">
      <c r="A27" s="390" t="s">
        <v>395</v>
      </c>
      <c r="B27" s="609"/>
      <c r="C27" s="617"/>
      <c r="D27" s="618">
        <v>22386.83</v>
      </c>
    </row>
    <row r="28" spans="1:4" ht="15.75" thickBot="1">
      <c r="A28" s="805" t="s">
        <v>701</v>
      </c>
      <c r="B28" s="980"/>
      <c r="C28" s="796"/>
      <c r="D28" s="940">
        <v>311513.49</v>
      </c>
    </row>
    <row r="29" spans="1:4" ht="15.75" thickBot="1">
      <c r="A29" s="693" t="s">
        <v>193</v>
      </c>
      <c r="B29" s="461"/>
      <c r="C29" s="462"/>
      <c r="D29" s="463"/>
    </row>
    <row r="30" spans="1:4" ht="24">
      <c r="A30" s="808" t="s">
        <v>194</v>
      </c>
      <c r="B30" s="653" t="s">
        <v>920</v>
      </c>
      <c r="C30" s="654" t="s">
        <v>673</v>
      </c>
      <c r="D30" s="655" t="s">
        <v>793</v>
      </c>
    </row>
    <row r="31" spans="1:4" ht="15">
      <c r="A31" s="542" t="s">
        <v>11</v>
      </c>
      <c r="B31" s="433"/>
      <c r="C31" s="619">
        <v>1</v>
      </c>
      <c r="D31" s="687">
        <v>39849.26</v>
      </c>
    </row>
    <row r="32" spans="1:4" ht="15">
      <c r="A32" s="385" t="s">
        <v>109</v>
      </c>
      <c r="B32" s="358" t="s">
        <v>40</v>
      </c>
      <c r="C32" s="441">
        <v>2</v>
      </c>
      <c r="D32" s="634">
        <v>1635.14</v>
      </c>
    </row>
    <row r="33" spans="1:4" ht="15">
      <c r="A33" s="363" t="s">
        <v>968</v>
      </c>
      <c r="B33" s="358" t="s">
        <v>817</v>
      </c>
      <c r="C33" s="421">
        <v>1</v>
      </c>
      <c r="D33" s="1158">
        <v>1729.96</v>
      </c>
    </row>
    <row r="34" spans="1:4" ht="15">
      <c r="A34" s="1016" t="s">
        <v>967</v>
      </c>
      <c r="B34" s="1155"/>
      <c r="C34" s="661">
        <v>1</v>
      </c>
      <c r="D34" s="1158">
        <v>631.14</v>
      </c>
    </row>
    <row r="35" spans="1:4" ht="15.75" thickBot="1">
      <c r="A35" s="390" t="s">
        <v>379</v>
      </c>
      <c r="B35" s="748" t="s">
        <v>40</v>
      </c>
      <c r="C35" s="674">
        <v>1</v>
      </c>
      <c r="D35" s="459">
        <v>2720</v>
      </c>
    </row>
    <row r="36" spans="1:4" ht="15.75" thickBot="1">
      <c r="A36" s="806" t="s">
        <v>701</v>
      </c>
      <c r="B36" s="957"/>
      <c r="C36" s="462"/>
      <c r="D36" s="858">
        <v>46565.5</v>
      </c>
    </row>
    <row r="37" spans="1:4" ht="15">
      <c r="A37" s="465" t="s">
        <v>445</v>
      </c>
      <c r="B37" s="385"/>
      <c r="C37" s="652"/>
      <c r="D37" s="441"/>
    </row>
    <row r="38" spans="1:4" ht="15">
      <c r="A38" s="359" t="s">
        <v>64</v>
      </c>
      <c r="B38" s="358" t="s">
        <v>427</v>
      </c>
      <c r="C38" s="421">
        <v>1</v>
      </c>
      <c r="D38" s="421">
        <v>550.39</v>
      </c>
    </row>
    <row r="39" spans="1:4" ht="15">
      <c r="A39" s="359" t="s">
        <v>225</v>
      </c>
      <c r="B39" s="358" t="s">
        <v>52</v>
      </c>
      <c r="C39" s="421">
        <v>1</v>
      </c>
      <c r="D39" s="421">
        <v>1803.31</v>
      </c>
    </row>
    <row r="40" spans="1:4" ht="15">
      <c r="A40" s="359" t="s">
        <v>455</v>
      </c>
      <c r="B40" s="358"/>
      <c r="C40" s="421">
        <v>2</v>
      </c>
      <c r="D40" s="421">
        <v>3183.03</v>
      </c>
    </row>
    <row r="41" spans="1:4" ht="16.5" thickBot="1">
      <c r="A41" s="827" t="s">
        <v>966</v>
      </c>
      <c r="B41" s="381" t="s">
        <v>40</v>
      </c>
      <c r="C41" s="616">
        <v>1</v>
      </c>
      <c r="D41" s="541">
        <v>26603</v>
      </c>
    </row>
    <row r="42" spans="1:4" ht="16.5" thickBot="1">
      <c r="A42" s="829" t="s">
        <v>701</v>
      </c>
      <c r="B42" s="957"/>
      <c r="C42" s="550"/>
      <c r="D42" s="858">
        <v>32139.73</v>
      </c>
    </row>
    <row r="43" spans="1:4" ht="15.75">
      <c r="A43" s="1149" t="s">
        <v>780</v>
      </c>
      <c r="B43" s="382"/>
      <c r="C43" s="652"/>
      <c r="D43" s="441"/>
    </row>
    <row r="44" spans="1:4" ht="15.75">
      <c r="A44" s="488" t="s">
        <v>238</v>
      </c>
      <c r="B44" s="358" t="s">
        <v>40</v>
      </c>
      <c r="C44" s="615">
        <v>6</v>
      </c>
      <c r="D44" s="541">
        <v>4573</v>
      </c>
    </row>
    <row r="45" spans="1:4" ht="15.75" thickBot="1">
      <c r="A45" s="807" t="s">
        <v>197</v>
      </c>
      <c r="B45" s="381"/>
      <c r="C45" s="616">
        <v>2</v>
      </c>
      <c r="D45" s="541">
        <v>995.46</v>
      </c>
    </row>
    <row r="46" spans="1:4" ht="15.75" thickBot="1">
      <c r="A46" s="806" t="s">
        <v>701</v>
      </c>
      <c r="B46" s="957"/>
      <c r="C46" s="550"/>
      <c r="D46" s="858">
        <v>5568.46</v>
      </c>
    </row>
    <row r="47" spans="1:4" ht="15">
      <c r="A47" s="808" t="s">
        <v>424</v>
      </c>
      <c r="B47" s="760"/>
      <c r="C47" s="652"/>
      <c r="D47" s="598"/>
    </row>
    <row r="48" spans="1:4" ht="15.75">
      <c r="A48" s="488" t="s">
        <v>318</v>
      </c>
      <c r="B48" s="364" t="s">
        <v>211</v>
      </c>
      <c r="C48" s="615">
        <v>1</v>
      </c>
      <c r="D48" s="532">
        <v>1574.08</v>
      </c>
    </row>
    <row r="49" spans="1:4" ht="15">
      <c r="A49" s="359" t="s">
        <v>221</v>
      </c>
      <c r="B49" s="364" t="s">
        <v>40</v>
      </c>
      <c r="C49" s="359">
        <v>1</v>
      </c>
      <c r="D49" s="541">
        <v>1140.79</v>
      </c>
    </row>
    <row r="50" spans="1:4" ht="15">
      <c r="A50" s="359" t="s">
        <v>695</v>
      </c>
      <c r="B50" s="364"/>
      <c r="C50" s="615">
        <v>1</v>
      </c>
      <c r="D50" s="541">
        <v>715.02</v>
      </c>
    </row>
    <row r="51" spans="1:4" ht="15.75" thickBot="1">
      <c r="A51" s="807" t="s">
        <v>411</v>
      </c>
      <c r="B51" s="978" t="s">
        <v>40</v>
      </c>
      <c r="C51" s="616">
        <v>1</v>
      </c>
      <c r="D51" s="541">
        <v>666.35</v>
      </c>
    </row>
    <row r="52" spans="1:4" ht="15.75" thickBot="1">
      <c r="A52" s="806" t="s">
        <v>701</v>
      </c>
      <c r="B52" s="957"/>
      <c r="C52" s="550"/>
      <c r="D52" s="858">
        <v>4096.24</v>
      </c>
    </row>
    <row r="53" spans="1:4" ht="15">
      <c r="A53" s="813" t="s">
        <v>425</v>
      </c>
      <c r="B53" s="814"/>
      <c r="C53" s="1043"/>
      <c r="D53" s="1044"/>
    </row>
    <row r="54" spans="1:4" ht="15">
      <c r="A54" s="359" t="s">
        <v>479</v>
      </c>
      <c r="B54" s="358" t="s">
        <v>211</v>
      </c>
      <c r="C54" s="363">
        <v>3</v>
      </c>
      <c r="D54" s="424">
        <v>4496.34</v>
      </c>
    </row>
    <row r="55" spans="1:4" ht="15">
      <c r="A55" s="359" t="s">
        <v>212</v>
      </c>
      <c r="B55" s="358" t="s">
        <v>81</v>
      </c>
      <c r="C55" s="480">
        <v>1</v>
      </c>
      <c r="D55" s="532">
        <v>1264.76</v>
      </c>
    </row>
    <row r="56" spans="1:4" ht="15.75" thickBot="1">
      <c r="A56" s="807" t="s">
        <v>882</v>
      </c>
      <c r="B56" s="381"/>
      <c r="C56" s="1069">
        <v>13</v>
      </c>
      <c r="D56" s="541">
        <v>11077.96</v>
      </c>
    </row>
    <row r="57" spans="1:4" ht="16.5" thickBot="1">
      <c r="A57" s="829" t="s">
        <v>701</v>
      </c>
      <c r="B57" s="1018"/>
      <c r="C57" s="550"/>
      <c r="D57" s="863">
        <v>16839.06</v>
      </c>
    </row>
    <row r="58" spans="1:4" ht="15.75">
      <c r="A58" s="1061" t="s">
        <v>386</v>
      </c>
      <c r="B58" s="760"/>
      <c r="C58" s="441"/>
      <c r="D58" s="441"/>
    </row>
    <row r="59" spans="1:4" ht="15.75">
      <c r="A59" s="1060" t="s">
        <v>886</v>
      </c>
      <c r="B59" s="364" t="s">
        <v>40</v>
      </c>
      <c r="C59" s="421">
        <v>6</v>
      </c>
      <c r="D59" s="421">
        <v>4154.39</v>
      </c>
    </row>
    <row r="60" spans="1:4" ht="15.75">
      <c r="A60" s="1060" t="s">
        <v>692</v>
      </c>
      <c r="B60" s="364"/>
      <c r="C60" s="421">
        <v>10</v>
      </c>
      <c r="D60" s="421">
        <v>13306.38</v>
      </c>
    </row>
    <row r="61" spans="1:4" ht="15.75">
      <c r="A61" s="1060" t="s">
        <v>90</v>
      </c>
      <c r="B61" s="364" t="s">
        <v>40</v>
      </c>
      <c r="C61" s="421">
        <v>1</v>
      </c>
      <c r="D61" s="421">
        <v>4153.89</v>
      </c>
    </row>
    <row r="62" spans="1:4" ht="16.5" thickBot="1">
      <c r="A62" s="1159" t="s">
        <v>969</v>
      </c>
      <c r="B62" s="978" t="s">
        <v>40</v>
      </c>
      <c r="C62" s="439">
        <v>1</v>
      </c>
      <c r="D62" s="439">
        <v>1658.64</v>
      </c>
    </row>
    <row r="63" spans="1:8" ht="15.75">
      <c r="A63" s="847" t="s">
        <v>701</v>
      </c>
      <c r="B63" s="1161"/>
      <c r="C63" s="850"/>
      <c r="D63" s="1059">
        <v>23273.3</v>
      </c>
      <c r="H63" s="111"/>
    </row>
    <row r="64" spans="1:8" ht="16.5" thickBot="1">
      <c r="A64" s="1163"/>
      <c r="B64" s="381"/>
      <c r="C64" s="439"/>
      <c r="D64" s="1039"/>
      <c r="H64" s="111"/>
    </row>
    <row r="65" spans="1:8" ht="16.5" thickBot="1">
      <c r="A65" s="829" t="s">
        <v>970</v>
      </c>
      <c r="B65" s="957"/>
      <c r="C65" s="803"/>
      <c r="D65" s="858">
        <v>128482.29</v>
      </c>
      <c r="H65" s="111"/>
    </row>
    <row r="66" spans="1:8" ht="15.75">
      <c r="A66" s="864"/>
      <c r="B66" s="382"/>
      <c r="C66" s="441"/>
      <c r="D66" s="1051"/>
      <c r="H66" s="111"/>
    </row>
    <row r="67" spans="1:4" ht="15.75" thickBot="1">
      <c r="A67" s="1162" t="s">
        <v>453</v>
      </c>
      <c r="B67" s="963"/>
      <c r="C67" s="652"/>
      <c r="D67" s="1160">
        <v>25237.78</v>
      </c>
    </row>
    <row r="68" spans="1:4" ht="15">
      <c r="A68" s="465" t="s">
        <v>904</v>
      </c>
      <c r="B68" s="368"/>
      <c r="C68" s="615"/>
      <c r="D68" s="428">
        <v>29184.7</v>
      </c>
    </row>
    <row r="69" spans="1:4" ht="15">
      <c r="A69" s="955" t="s">
        <v>735</v>
      </c>
      <c r="B69" s="358"/>
      <c r="C69" s="615"/>
      <c r="D69" s="869">
        <v>111996.12</v>
      </c>
    </row>
    <row r="70" spans="1:4" ht="15.75" thickBot="1">
      <c r="A70" s="526"/>
      <c r="B70" s="381"/>
      <c r="C70" s="882"/>
      <c r="D70" s="541"/>
    </row>
    <row r="71" spans="1:4" ht="16.5" customHeight="1" thickBot="1">
      <c r="A71" s="806" t="s">
        <v>36</v>
      </c>
      <c r="B71" s="957"/>
      <c r="C71" s="462"/>
      <c r="D71" s="863">
        <v>606414.38</v>
      </c>
    </row>
    <row r="72" spans="1:4" ht="15">
      <c r="A72" s="196"/>
      <c r="B72" s="196"/>
      <c r="C72" s="196"/>
      <c r="D72" s="197"/>
    </row>
    <row r="73" spans="1:4" ht="14.25">
      <c r="A73" s="764"/>
      <c r="B73" s="358"/>
      <c r="C73" s="359"/>
      <c r="D73" s="1262"/>
    </row>
    <row r="74" spans="1:4" ht="15">
      <c r="A74" s="1251" t="s">
        <v>568</v>
      </c>
      <c r="B74" s="1257"/>
      <c r="C74" s="467"/>
      <c r="D74" s="467">
        <v>0</v>
      </c>
    </row>
    <row r="75" spans="1:4" ht="15">
      <c r="A75" s="1332" t="s">
        <v>569</v>
      </c>
      <c r="B75" s="1332"/>
      <c r="C75" s="628"/>
      <c r="D75" s="608">
        <v>635970.1</v>
      </c>
    </row>
    <row r="76" spans="1:4" ht="15">
      <c r="A76" s="1332" t="s">
        <v>570</v>
      </c>
      <c r="B76" s="1332"/>
      <c r="C76" s="607"/>
      <c r="D76" s="608">
        <v>606414.38</v>
      </c>
    </row>
    <row r="77" spans="1:4" ht="15">
      <c r="A77" s="1333" t="s">
        <v>571</v>
      </c>
      <c r="B77" s="1333"/>
      <c r="C77" s="629"/>
      <c r="D77" s="629">
        <v>-29555.72</v>
      </c>
    </row>
    <row r="78" spans="1:4" ht="15">
      <c r="A78" s="1332" t="s">
        <v>179</v>
      </c>
      <c r="B78" s="1332"/>
      <c r="C78" s="1258"/>
      <c r="D78" s="630">
        <v>-29555.72</v>
      </c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 t="s">
        <v>180</v>
      </c>
      <c r="B82" s="538"/>
      <c r="C82" s="1259" t="s">
        <v>573</v>
      </c>
      <c r="D82" s="1260"/>
    </row>
    <row r="83" spans="1:4" ht="15">
      <c r="A83" s="538"/>
      <c r="B83" s="538"/>
      <c r="C83" s="1259"/>
      <c r="D83" s="1260"/>
    </row>
    <row r="84" ht="12.75">
      <c r="A84" s="735" t="s">
        <v>357</v>
      </c>
    </row>
    <row r="85" ht="12.75">
      <c r="A85" s="735" t="s">
        <v>906</v>
      </c>
    </row>
    <row r="86" ht="12.75">
      <c r="A86" s="735" t="s">
        <v>358</v>
      </c>
    </row>
  </sheetData>
  <sheetProtection/>
  <mergeCells count="13">
    <mergeCell ref="C2:D2"/>
    <mergeCell ref="A3:B3"/>
    <mergeCell ref="A4:B4"/>
    <mergeCell ref="A5:B5"/>
    <mergeCell ref="A19:D19"/>
    <mergeCell ref="A10:B11"/>
    <mergeCell ref="A18:D18"/>
    <mergeCell ref="A6:B6"/>
    <mergeCell ref="A8:B8"/>
    <mergeCell ref="A75:B75"/>
    <mergeCell ref="A76:B76"/>
    <mergeCell ref="A77:B77"/>
    <mergeCell ref="A78:B78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2">
      <selection activeCell="B32" sqref="B32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8.57421875" style="1" customWidth="1"/>
    <col min="4" max="4" width="15.421875" style="1" customWidth="1"/>
    <col min="5" max="5" width="14.7109375" style="1" customWidth="1"/>
    <col min="6" max="6" width="14.574218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791</v>
      </c>
      <c r="C5" s="1391"/>
      <c r="D5"/>
    </row>
    <row r="6" spans="2:4" ht="18.75">
      <c r="B6" s="26"/>
      <c r="C6" s="26"/>
      <c r="D6"/>
    </row>
    <row r="7" spans="2:4" ht="15.75">
      <c r="B7" s="1392" t="s">
        <v>826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customHeight="1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129392.34+996.53</f>
        <v>130388.87</v>
      </c>
      <c r="E11" s="25">
        <v>23248.83</v>
      </c>
    </row>
    <row r="12" spans="2:5" ht="16.5" customHeight="1" thickBot="1">
      <c r="B12" s="1398" t="s">
        <v>646</v>
      </c>
      <c r="C12" s="1399"/>
      <c r="D12" s="25">
        <f>1024793.76+4781.28</f>
        <v>1029575.04</v>
      </c>
      <c r="E12" s="25">
        <v>51546.35</v>
      </c>
    </row>
    <row r="13" spans="2:5" ht="16.5" customHeight="1" thickBot="1">
      <c r="B13" s="1398" t="s">
        <v>647</v>
      </c>
      <c r="C13" s="1399"/>
      <c r="D13" s="25">
        <f>1023710.62+5764.55</f>
        <v>1029475.17</v>
      </c>
      <c r="E13" s="25">
        <v>75281.95</v>
      </c>
    </row>
    <row r="14" spans="2:5" ht="16.5" customHeight="1" hidden="1" thickBot="1">
      <c r="B14" s="1398" t="s">
        <v>666</v>
      </c>
      <c r="C14" s="1399"/>
      <c r="D14" s="25"/>
      <c r="E14" s="25"/>
    </row>
    <row r="15" spans="2:5" ht="16.5" customHeight="1" thickBot="1">
      <c r="B15" s="1398" t="s">
        <v>648</v>
      </c>
      <c r="C15" s="1399"/>
      <c r="D15" s="25">
        <f>D11+D12-D13</f>
        <v>130488.7400000001</v>
      </c>
      <c r="E15" s="25">
        <f>E11+E12-E13</f>
        <v>-486.7700000000041</v>
      </c>
    </row>
    <row r="16" spans="2:5" ht="16.5" customHeight="1" thickBot="1">
      <c r="B16" s="1398" t="s">
        <v>806</v>
      </c>
      <c r="C16" s="1399"/>
      <c r="D16" s="131">
        <f>E22+E44</f>
        <v>1127948.9300000002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6" ht="48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  <c r="F21" s="111"/>
    </row>
    <row r="22" spans="1:6" ht="20.25" thickBot="1">
      <c r="A22" s="9"/>
      <c r="B22" s="35" t="s">
        <v>761</v>
      </c>
      <c r="C22" s="61"/>
      <c r="D22" s="10"/>
      <c r="E22" s="62">
        <f>E23+E29+E31+E32+E42</f>
        <v>692949.5900000001</v>
      </c>
      <c r="F22" s="111"/>
    </row>
    <row r="23" spans="1:5" s="82" customFormat="1" ht="31.5" thickBot="1">
      <c r="A23" s="103"/>
      <c r="B23" s="36" t="s">
        <v>662</v>
      </c>
      <c r="C23" s="104" t="s">
        <v>652</v>
      </c>
      <c r="D23" s="93"/>
      <c r="E23" s="109">
        <v>372783.21</v>
      </c>
    </row>
    <row r="24" spans="2:5" s="82" customFormat="1" ht="31.5" hidden="1" thickBot="1">
      <c r="B24" s="36" t="s">
        <v>686</v>
      </c>
      <c r="C24" s="105" t="s">
        <v>661</v>
      </c>
      <c r="D24" s="95"/>
      <c r="E24" s="246"/>
    </row>
    <row r="25" spans="2:5" s="82" customFormat="1" ht="16.5" hidden="1" thickBot="1">
      <c r="B25" s="36" t="s">
        <v>765</v>
      </c>
      <c r="C25" s="105" t="s">
        <v>661</v>
      </c>
      <c r="D25" s="95"/>
      <c r="E25" s="246"/>
    </row>
    <row r="26" spans="2:5" s="82" customFormat="1" ht="39" hidden="1" thickBot="1">
      <c r="B26" s="36" t="s">
        <v>655</v>
      </c>
      <c r="C26" s="104" t="s">
        <v>653</v>
      </c>
      <c r="D26" s="106"/>
      <c r="E26" s="253"/>
    </row>
    <row r="27" spans="2:5" s="82" customFormat="1" ht="31.5" hidden="1" thickBot="1">
      <c r="B27" s="36" t="s">
        <v>796</v>
      </c>
      <c r="C27" s="105" t="s">
        <v>661</v>
      </c>
      <c r="D27" s="95"/>
      <c r="E27" s="246"/>
    </row>
    <row r="28" spans="2:5" s="82" customFormat="1" ht="46.5" hidden="1" thickBot="1">
      <c r="B28" s="36" t="s">
        <v>797</v>
      </c>
      <c r="C28" s="105" t="s">
        <v>661</v>
      </c>
      <c r="D28" s="95"/>
      <c r="E28" s="246"/>
    </row>
    <row r="29" spans="2:5" s="82" customFormat="1" ht="16.5" thickBot="1">
      <c r="B29" s="36" t="s">
        <v>654</v>
      </c>
      <c r="C29" s="107" t="s">
        <v>656</v>
      </c>
      <c r="D29" s="93" t="s">
        <v>801</v>
      </c>
      <c r="E29" s="109">
        <v>154208.22</v>
      </c>
    </row>
    <row r="30" spans="2:5" s="82" customFormat="1" ht="31.5" hidden="1" thickBot="1">
      <c r="B30" s="36" t="s">
        <v>872</v>
      </c>
      <c r="C30" s="105" t="s">
        <v>661</v>
      </c>
      <c r="D30" s="94" t="s">
        <v>822</v>
      </c>
      <c r="E30" s="246"/>
    </row>
    <row r="31" spans="2:5" s="82" customFormat="1" ht="27" thickBot="1">
      <c r="B31" s="36" t="s">
        <v>658</v>
      </c>
      <c r="C31" s="104" t="s">
        <v>657</v>
      </c>
      <c r="D31" s="93"/>
      <c r="E31" s="109">
        <v>133049.45</v>
      </c>
    </row>
    <row r="32" spans="2:5" s="82" customFormat="1" ht="16.5" thickBot="1">
      <c r="B32" s="67" t="s">
        <v>879</v>
      </c>
      <c r="C32" s="104" t="s">
        <v>661</v>
      </c>
      <c r="D32" s="108"/>
      <c r="E32" s="109">
        <f>494.64+1181.97</f>
        <v>1676.6100000000001</v>
      </c>
    </row>
    <row r="33" spans="2:5" s="82" customFormat="1" ht="27" hidden="1" thickBot="1">
      <c r="B33" s="36" t="s">
        <v>758</v>
      </c>
      <c r="C33" s="104" t="s">
        <v>665</v>
      </c>
      <c r="D33" s="93"/>
      <c r="E33" s="247"/>
    </row>
    <row r="34" spans="2:5" s="82" customFormat="1" ht="31.5" hidden="1" thickBot="1">
      <c r="B34" s="36" t="s">
        <v>664</v>
      </c>
      <c r="C34" s="105" t="s">
        <v>661</v>
      </c>
      <c r="D34" s="95"/>
      <c r="E34" s="246"/>
    </row>
    <row r="35" spans="2:5" s="82" customFormat="1" ht="31.5" hidden="1" thickBot="1">
      <c r="B35" s="36" t="s">
        <v>671</v>
      </c>
      <c r="C35" s="105" t="s">
        <v>661</v>
      </c>
      <c r="D35" s="99"/>
      <c r="E35" s="248"/>
    </row>
    <row r="36" spans="2:5" s="82" customFormat="1" ht="94.5" hidden="1" thickBot="1">
      <c r="B36" s="36" t="s">
        <v>873</v>
      </c>
      <c r="C36" s="105" t="s">
        <v>661</v>
      </c>
      <c r="D36" s="95"/>
      <c r="E36" s="246"/>
    </row>
    <row r="37" spans="2:5" s="82" customFormat="1" ht="46.5" hidden="1" thickBot="1">
      <c r="B37" s="36" t="s">
        <v>767</v>
      </c>
      <c r="C37" s="104" t="s">
        <v>766</v>
      </c>
      <c r="D37" s="93"/>
      <c r="E37" s="247"/>
    </row>
    <row r="38" spans="2:5" s="82" customFormat="1" ht="31.5" hidden="1" thickBot="1">
      <c r="B38" s="36" t="s">
        <v>668</v>
      </c>
      <c r="C38" s="105" t="s">
        <v>661</v>
      </c>
      <c r="D38" s="95"/>
      <c r="E38" s="246"/>
    </row>
    <row r="39" spans="2:5" s="82" customFormat="1" ht="16.5" hidden="1" thickBot="1">
      <c r="B39" s="36" t="s">
        <v>799</v>
      </c>
      <c r="C39" s="105" t="s">
        <v>661</v>
      </c>
      <c r="D39" s="95"/>
      <c r="E39" s="246"/>
    </row>
    <row r="40" spans="2:5" s="82" customFormat="1" ht="52.5" hidden="1" thickBot="1">
      <c r="B40" s="36" t="s">
        <v>670</v>
      </c>
      <c r="C40" s="104" t="s">
        <v>684</v>
      </c>
      <c r="D40" s="101"/>
      <c r="E40" s="249"/>
    </row>
    <row r="41" spans="2:5" s="82" customFormat="1" ht="48" hidden="1" thickBot="1">
      <c r="B41" s="36" t="s">
        <v>874</v>
      </c>
      <c r="C41" s="105" t="s">
        <v>661</v>
      </c>
      <c r="D41" s="95"/>
      <c r="E41" s="246"/>
    </row>
    <row r="42" spans="2:5" s="82" customFormat="1" ht="16.5" thickBot="1">
      <c r="B42" s="102" t="s">
        <v>685</v>
      </c>
      <c r="C42" s="245" t="s">
        <v>817</v>
      </c>
      <c r="D42" s="93" t="s">
        <v>801</v>
      </c>
      <c r="E42" s="250">
        <v>31232.1</v>
      </c>
    </row>
    <row r="43" spans="2:5" s="82" customFormat="1" ht="31.5" hidden="1" thickBot="1">
      <c r="B43" s="110" t="s">
        <v>875</v>
      </c>
      <c r="C43" s="94"/>
      <c r="D43" s="95"/>
      <c r="E43" s="246"/>
    </row>
    <row r="44" spans="2:5" ht="37.5" customHeight="1" thickBot="1">
      <c r="B44" s="14" t="s">
        <v>760</v>
      </c>
      <c r="C44" s="17"/>
      <c r="E44" s="241">
        <f>E57</f>
        <v>434999.34</v>
      </c>
    </row>
    <row r="45" spans="2:5" ht="24.75" thickBot="1">
      <c r="B45" s="150" t="s">
        <v>672</v>
      </c>
      <c r="C45" s="15" t="s">
        <v>920</v>
      </c>
      <c r="D45" s="49" t="s">
        <v>673</v>
      </c>
      <c r="E45" s="176" t="s">
        <v>793</v>
      </c>
    </row>
    <row r="46" spans="2:5" ht="14.25">
      <c r="B46" s="188" t="s">
        <v>928</v>
      </c>
      <c r="C46" s="74" t="s">
        <v>661</v>
      </c>
      <c r="D46" s="153"/>
      <c r="E46" s="177">
        <f>3968.87+6547.85+486.19</f>
        <v>11002.910000000002</v>
      </c>
    </row>
    <row r="47" spans="2:5" ht="14.25">
      <c r="B47" s="188" t="s">
        <v>1000</v>
      </c>
      <c r="C47" s="74" t="s">
        <v>661</v>
      </c>
      <c r="D47" s="153"/>
      <c r="E47" s="177">
        <v>44341.58</v>
      </c>
    </row>
    <row r="48" spans="2:5" ht="14.25">
      <c r="B48" s="188" t="s">
        <v>1016</v>
      </c>
      <c r="C48" s="115"/>
      <c r="D48" s="153"/>
      <c r="E48" s="177">
        <v>172598.15</v>
      </c>
    </row>
    <row r="49" spans="2:5" ht="14.25">
      <c r="B49" s="151" t="s">
        <v>676</v>
      </c>
      <c r="C49" s="116"/>
      <c r="D49" s="153"/>
      <c r="E49" s="177"/>
    </row>
    <row r="50" spans="2:5" ht="14.25">
      <c r="B50" s="132" t="s">
        <v>883</v>
      </c>
      <c r="C50" s="74" t="s">
        <v>661</v>
      </c>
      <c r="D50" s="153"/>
      <c r="E50" s="179">
        <f>607.19+91231.34+31190.63</f>
        <v>123029.16</v>
      </c>
    </row>
    <row r="51" spans="2:5" ht="14.25">
      <c r="B51" s="157" t="s">
        <v>880</v>
      </c>
      <c r="C51" s="74" t="s">
        <v>661</v>
      </c>
      <c r="D51" s="153"/>
      <c r="E51" s="179">
        <f>27355.21+5103.6</f>
        <v>32458.809999999998</v>
      </c>
    </row>
    <row r="52" spans="2:5" ht="14.25">
      <c r="B52" s="157" t="s">
        <v>925</v>
      </c>
      <c r="C52" s="74" t="s">
        <v>661</v>
      </c>
      <c r="D52" s="153"/>
      <c r="E52" s="180">
        <f>16293.45+12247.9</f>
        <v>28541.35</v>
      </c>
    </row>
    <row r="53" spans="2:5" ht="15">
      <c r="B53" s="151" t="s">
        <v>682</v>
      </c>
      <c r="C53" s="118"/>
      <c r="D53" s="153"/>
      <c r="E53" s="191"/>
    </row>
    <row r="54" spans="2:5" ht="14.25">
      <c r="B54" s="159" t="s">
        <v>888</v>
      </c>
      <c r="C54" s="74" t="s">
        <v>661</v>
      </c>
      <c r="D54" s="153"/>
      <c r="E54" s="192">
        <v>20950.95</v>
      </c>
    </row>
    <row r="55" spans="2:5" ht="14.25">
      <c r="B55" s="159" t="s">
        <v>929</v>
      </c>
      <c r="C55" s="74" t="s">
        <v>661</v>
      </c>
      <c r="D55" s="13"/>
      <c r="E55" s="85">
        <v>2076.43</v>
      </c>
    </row>
    <row r="56" spans="2:5" ht="12.75" hidden="1">
      <c r="B56" s="13"/>
      <c r="C56" s="13"/>
      <c r="D56" s="13"/>
      <c r="E56" s="85"/>
    </row>
    <row r="57" spans="2:5" ht="12.75" hidden="1">
      <c r="B57" s="117" t="s">
        <v>1014</v>
      </c>
      <c r="C57" s="13"/>
      <c r="D57" s="13"/>
      <c r="E57" s="85">
        <f>E46+E47+E48+E50+E51+E52+E54+E55</f>
        <v>434999.34</v>
      </c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1"/>
      <c r="C62" s="11"/>
      <c r="D62" s="11"/>
      <c r="E62" s="207"/>
    </row>
    <row r="63" spans="2:5" ht="15.75">
      <c r="B63" s="6" t="s">
        <v>830</v>
      </c>
      <c r="C63" s="6" t="s">
        <v>889</v>
      </c>
      <c r="E63" s="254"/>
    </row>
  </sheetData>
  <sheetProtection/>
  <mergeCells count="13">
    <mergeCell ref="B7:C7"/>
    <mergeCell ref="B9:C10"/>
    <mergeCell ref="B19:E19"/>
    <mergeCell ref="B12:C12"/>
    <mergeCell ref="B13:C13"/>
    <mergeCell ref="B14:C14"/>
    <mergeCell ref="B15:C15"/>
    <mergeCell ref="B16:C16"/>
    <mergeCell ref="B18:E18"/>
    <mergeCell ref="B2:C2"/>
    <mergeCell ref="B3:C3"/>
    <mergeCell ref="B4:C4"/>
    <mergeCell ref="B5:C5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7">
      <selection activeCell="B15" sqref="B15:C16"/>
    </sheetView>
  </sheetViews>
  <sheetFormatPr defaultColWidth="9.140625" defaultRowHeight="12.75"/>
  <cols>
    <col min="1" max="1" width="0.85546875" style="1" customWidth="1"/>
    <col min="2" max="2" width="56.8515625" style="1" customWidth="1"/>
    <col min="3" max="3" width="11.140625" style="1" customWidth="1"/>
    <col min="4" max="4" width="15.28125" style="1" customWidth="1"/>
    <col min="5" max="5" width="14.7109375" style="1" customWidth="1"/>
    <col min="6" max="6" width="17.421875" style="0" customWidth="1"/>
  </cols>
  <sheetData>
    <row r="1" ht="12.75">
      <c r="D1" s="1" t="s">
        <v>792</v>
      </c>
    </row>
    <row r="2" spans="2:4" ht="20.25" customHeight="1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9.75" customHeight="1">
      <c r="B6" s="26"/>
      <c r="C6" s="26"/>
      <c r="D6"/>
    </row>
    <row r="7" spans="2:4" ht="15.75">
      <c r="B7" s="1392" t="s">
        <v>827</v>
      </c>
      <c r="C7" s="1392"/>
      <c r="D7"/>
    </row>
    <row r="8" spans="2:4" ht="8.25" customHeight="1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75065.79+454.56</f>
        <v>75520.34999999999</v>
      </c>
      <c r="E11" s="25">
        <v>15497.01</v>
      </c>
    </row>
    <row r="12" spans="2:5" ht="16.5" thickBot="1">
      <c r="B12" s="1398" t="s">
        <v>646</v>
      </c>
      <c r="C12" s="1399"/>
      <c r="D12" s="25">
        <f>564443.82+2963.86</f>
        <v>567407.6799999999</v>
      </c>
      <c r="E12" s="25">
        <v>20796.7</v>
      </c>
    </row>
    <row r="13" spans="2:5" ht="16.5" thickBot="1">
      <c r="B13" s="1398" t="s">
        <v>647</v>
      </c>
      <c r="C13" s="1399"/>
      <c r="D13" s="25">
        <f>529801.62+3264.64</f>
        <v>533066.26</v>
      </c>
      <c r="E13" s="25">
        <v>31736.36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21158.28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109861.7699999999</v>
      </c>
      <c r="E17" s="25">
        <f>E11+E12-E13</f>
        <v>4557.3499999999985</v>
      </c>
    </row>
    <row r="18" spans="2:5" ht="16.5" thickBot="1">
      <c r="B18" s="1398" t="s">
        <v>806</v>
      </c>
      <c r="C18" s="1399"/>
      <c r="D18" s="75">
        <f>E24+E46</f>
        <v>486519.98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3" customHeight="1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16.5" customHeight="1" thickBot="1">
      <c r="A24" s="9"/>
      <c r="B24" s="114" t="s">
        <v>761</v>
      </c>
      <c r="C24" s="61"/>
      <c r="D24" s="10"/>
      <c r="E24" s="62">
        <f>E25+E31+E33+E34+E44</f>
        <v>366618.68</v>
      </c>
    </row>
    <row r="25" spans="1:5" s="82" customFormat="1" ht="30.75" customHeight="1" thickBot="1">
      <c r="A25" s="103"/>
      <c r="B25" s="120" t="s">
        <v>662</v>
      </c>
      <c r="C25" s="104" t="s">
        <v>652</v>
      </c>
      <c r="D25" s="93"/>
      <c r="E25" s="109">
        <v>159035.9</v>
      </c>
    </row>
    <row r="26" spans="2:5" s="82" customFormat="1" ht="31.5" hidden="1" thickBot="1">
      <c r="B26" s="36" t="s">
        <v>686</v>
      </c>
      <c r="C26" s="105" t="s">
        <v>661</v>
      </c>
      <c r="D26" s="95"/>
      <c r="E26" s="246"/>
    </row>
    <row r="27" spans="2:5" s="82" customFormat="1" ht="16.5" hidden="1" thickBot="1">
      <c r="B27" s="36" t="s">
        <v>765</v>
      </c>
      <c r="C27" s="105" t="s">
        <v>661</v>
      </c>
      <c r="D27" s="95"/>
      <c r="E27" s="246"/>
    </row>
    <row r="28" spans="2:5" s="82" customFormat="1" ht="39" hidden="1" thickBot="1">
      <c r="B28" s="36" t="s">
        <v>655</v>
      </c>
      <c r="C28" s="104" t="s">
        <v>653</v>
      </c>
      <c r="D28" s="106"/>
      <c r="E28" s="253"/>
    </row>
    <row r="29" spans="2:5" s="82" customFormat="1" ht="46.5" hidden="1" thickBot="1">
      <c r="B29" s="36" t="s">
        <v>796</v>
      </c>
      <c r="C29" s="105" t="s">
        <v>661</v>
      </c>
      <c r="D29" s="95"/>
      <c r="E29" s="246"/>
    </row>
    <row r="30" spans="2:5" s="82" customFormat="1" ht="46.5" hidden="1" thickBot="1">
      <c r="B30" s="36" t="s">
        <v>797</v>
      </c>
      <c r="C30" s="105" t="s">
        <v>661</v>
      </c>
      <c r="D30" s="95"/>
      <c r="E30" s="246"/>
    </row>
    <row r="31" spans="2:5" s="82" customFormat="1" ht="15" customHeight="1" thickBot="1">
      <c r="B31" s="120" t="s">
        <v>654</v>
      </c>
      <c r="C31" s="107" t="s">
        <v>656</v>
      </c>
      <c r="D31" s="93" t="s">
        <v>801</v>
      </c>
      <c r="E31" s="109">
        <v>94781.45</v>
      </c>
    </row>
    <row r="32" spans="2:5" s="82" customFormat="1" ht="31.5" hidden="1" thickBot="1">
      <c r="B32" s="36" t="s">
        <v>872</v>
      </c>
      <c r="C32" s="105" t="s">
        <v>661</v>
      </c>
      <c r="D32" s="94" t="s">
        <v>822</v>
      </c>
      <c r="E32" s="246"/>
    </row>
    <row r="33" spans="2:5" s="82" customFormat="1" ht="15" customHeight="1" thickBot="1">
      <c r="B33" s="120" t="s">
        <v>658</v>
      </c>
      <c r="C33" s="104" t="s">
        <v>657</v>
      </c>
      <c r="D33" s="93"/>
      <c r="E33" s="109">
        <v>88689.79</v>
      </c>
    </row>
    <row r="34" spans="2:5" s="82" customFormat="1" ht="15" customHeight="1" thickBot="1">
      <c r="B34" s="67" t="s">
        <v>879</v>
      </c>
      <c r="C34" s="104" t="s">
        <v>661</v>
      </c>
      <c r="D34" s="108"/>
      <c r="E34" s="109">
        <f>1173.7+3347</f>
        <v>4520.7</v>
      </c>
    </row>
    <row r="35" spans="2:5" s="82" customFormat="1" ht="27" hidden="1" thickBot="1">
      <c r="B35" s="36" t="s">
        <v>758</v>
      </c>
      <c r="C35" s="104" t="s">
        <v>665</v>
      </c>
      <c r="D35" s="93"/>
      <c r="E35" s="247"/>
    </row>
    <row r="36" spans="2:5" s="82" customFormat="1" ht="31.5" hidden="1" thickBot="1">
      <c r="B36" s="36" t="s">
        <v>664</v>
      </c>
      <c r="C36" s="105" t="s">
        <v>661</v>
      </c>
      <c r="D36" s="95"/>
      <c r="E36" s="246"/>
    </row>
    <row r="37" spans="2:5" s="82" customFormat="1" ht="31.5" hidden="1" thickBot="1">
      <c r="B37" s="36" t="s">
        <v>671</v>
      </c>
      <c r="C37" s="105" t="s">
        <v>661</v>
      </c>
      <c r="D37" s="99"/>
      <c r="E37" s="248"/>
    </row>
    <row r="38" spans="2:5" s="82" customFormat="1" ht="94.5" hidden="1" thickBot="1">
      <c r="B38" s="36" t="s">
        <v>873</v>
      </c>
      <c r="C38" s="105" t="s">
        <v>661</v>
      </c>
      <c r="D38" s="95"/>
      <c r="E38" s="246"/>
    </row>
    <row r="39" spans="2:5" s="82" customFormat="1" ht="61.5" hidden="1" thickBot="1">
      <c r="B39" s="36" t="s">
        <v>767</v>
      </c>
      <c r="C39" s="104" t="s">
        <v>766</v>
      </c>
      <c r="D39" s="93"/>
      <c r="E39" s="247"/>
    </row>
    <row r="40" spans="2:5" s="82" customFormat="1" ht="31.5" hidden="1" thickBot="1">
      <c r="B40" s="36" t="s">
        <v>668</v>
      </c>
      <c r="C40" s="105" t="s">
        <v>661</v>
      </c>
      <c r="D40" s="95"/>
      <c r="E40" s="246"/>
    </row>
    <row r="41" spans="2:5" s="82" customFormat="1" ht="16.5" hidden="1" thickBot="1">
      <c r="B41" s="36" t="s">
        <v>799</v>
      </c>
      <c r="C41" s="105" t="s">
        <v>661</v>
      </c>
      <c r="D41" s="95"/>
      <c r="E41" s="246"/>
    </row>
    <row r="42" spans="2:5" s="82" customFormat="1" ht="52.5" hidden="1" thickBot="1">
      <c r="B42" s="36" t="s">
        <v>670</v>
      </c>
      <c r="C42" s="104" t="s">
        <v>684</v>
      </c>
      <c r="D42" s="101"/>
      <c r="E42" s="249"/>
    </row>
    <row r="43" spans="2:5" s="82" customFormat="1" ht="48" hidden="1" thickBot="1">
      <c r="B43" s="36" t="s">
        <v>874</v>
      </c>
      <c r="C43" s="105" t="s">
        <v>661</v>
      </c>
      <c r="D43" s="95"/>
      <c r="E43" s="246"/>
    </row>
    <row r="44" spans="2:5" s="82" customFormat="1" ht="15" customHeight="1" thickBot="1">
      <c r="B44" s="121" t="s">
        <v>685</v>
      </c>
      <c r="C44" s="245" t="s">
        <v>817</v>
      </c>
      <c r="D44" s="93" t="s">
        <v>801</v>
      </c>
      <c r="E44" s="250">
        <v>19590.84</v>
      </c>
    </row>
    <row r="45" spans="2:5" ht="30" customHeight="1" hidden="1" thickBot="1">
      <c r="B45" s="70" t="s">
        <v>802</v>
      </c>
      <c r="C45" s="47"/>
      <c r="D45" s="44"/>
      <c r="E45" s="174"/>
    </row>
    <row r="46" spans="2:5" ht="21" customHeight="1" thickBot="1">
      <c r="B46" s="122" t="s">
        <v>760</v>
      </c>
      <c r="C46" s="17"/>
      <c r="E46" s="257">
        <f>E58</f>
        <v>119901.3</v>
      </c>
    </row>
    <row r="47" spans="2:5" ht="30.75" customHeight="1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4.25" customHeight="1">
      <c r="B48" s="217" t="s">
        <v>816</v>
      </c>
      <c r="C48" s="255" t="s">
        <v>661</v>
      </c>
      <c r="D48" s="222"/>
      <c r="E48" s="258">
        <v>6085.5</v>
      </c>
    </row>
    <row r="49" spans="2:5" ht="14.25">
      <c r="B49" s="188" t="s">
        <v>928</v>
      </c>
      <c r="C49" s="74" t="s">
        <v>661</v>
      </c>
      <c r="D49" s="153"/>
      <c r="E49" s="177">
        <f>334.68+1073.15+768.34+882.88</f>
        <v>3059.05</v>
      </c>
    </row>
    <row r="50" spans="2:5" ht="14.25">
      <c r="B50" s="151" t="s">
        <v>676</v>
      </c>
      <c r="C50" s="116"/>
      <c r="D50" s="153"/>
      <c r="E50" s="177"/>
    </row>
    <row r="51" spans="2:5" ht="14.25">
      <c r="B51" s="132" t="s">
        <v>883</v>
      </c>
      <c r="C51" s="74" t="s">
        <v>661</v>
      </c>
      <c r="D51" s="153"/>
      <c r="E51" s="179">
        <f>1898.06+26961.68</f>
        <v>28859.74</v>
      </c>
    </row>
    <row r="52" spans="2:5" ht="14.25">
      <c r="B52" s="157" t="s">
        <v>880</v>
      </c>
      <c r="C52" s="74" t="s">
        <v>661</v>
      </c>
      <c r="D52" s="153"/>
      <c r="E52" s="259">
        <v>12445.2</v>
      </c>
    </row>
    <row r="53" spans="2:5" ht="14.25">
      <c r="B53" s="157" t="s">
        <v>925</v>
      </c>
      <c r="C53" s="74" t="s">
        <v>661</v>
      </c>
      <c r="D53" s="153"/>
      <c r="E53" s="180">
        <f>52044.03</f>
        <v>52044.03</v>
      </c>
    </row>
    <row r="54" spans="2:5" ht="15">
      <c r="B54" s="151" t="s">
        <v>682</v>
      </c>
      <c r="C54" s="118"/>
      <c r="D54" s="153"/>
      <c r="E54" s="191"/>
    </row>
    <row r="55" spans="2:5" ht="14.25">
      <c r="B55" s="159" t="s">
        <v>888</v>
      </c>
      <c r="C55" s="74" t="s">
        <v>661</v>
      </c>
      <c r="D55" s="153"/>
      <c r="E55" s="192">
        <v>16105.31</v>
      </c>
    </row>
    <row r="56" spans="2:5" ht="14.25">
      <c r="B56" s="159" t="s">
        <v>929</v>
      </c>
      <c r="C56" s="74" t="s">
        <v>661</v>
      </c>
      <c r="D56" s="13"/>
      <c r="E56" s="85">
        <v>1302.47</v>
      </c>
    </row>
    <row r="57" spans="2:5" ht="12.75" hidden="1">
      <c r="B57" s="13"/>
      <c r="C57" s="13"/>
      <c r="D57" s="13"/>
      <c r="E57" s="85"/>
    </row>
    <row r="58" spans="2:5" ht="12.75" hidden="1">
      <c r="B58" s="117" t="s">
        <v>1014</v>
      </c>
      <c r="C58" s="13"/>
      <c r="D58" s="13"/>
      <c r="E58" s="256">
        <f>E48+E49+E51+E53+E55+E56+E52</f>
        <v>119901.3</v>
      </c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1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.1968503937007874" right="0" top="0.984251968503937" bottom="0.3937007874015748" header="0.31496062992125984" footer="0.31496062992125984"/>
  <pageSetup horizontalDpi="600" verticalDpi="6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99CC"/>
  </sheetPr>
  <dimension ref="A2:G88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5" width="9.8515625" style="0" hidden="1" customWidth="1"/>
    <col min="6" max="6" width="0" style="0" hidden="1" customWidth="1"/>
    <col min="8" max="8" width="10.7109375" style="0" customWidth="1"/>
  </cols>
  <sheetData>
    <row r="2" spans="3:4" ht="12.75">
      <c r="C2" s="1364" t="s">
        <v>792</v>
      </c>
      <c r="D2" s="1364"/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804</v>
      </c>
      <c r="B6" s="1363"/>
      <c r="C6" s="91"/>
      <c r="D6" s="91"/>
    </row>
    <row r="7" spans="1:3" ht="12" customHeight="1">
      <c r="A7" s="26"/>
      <c r="B7" s="26"/>
      <c r="C7"/>
    </row>
    <row r="8" spans="1:4" ht="15">
      <c r="A8" s="1343" t="s">
        <v>339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1366" t="s">
        <v>642</v>
      </c>
      <c r="B10" s="1367"/>
      <c r="C10" s="1366" t="s">
        <v>488</v>
      </c>
      <c r="D10" s="1367"/>
    </row>
    <row r="11" spans="1:4" ht="12.75">
      <c r="A11" s="1368"/>
      <c r="B11" s="1369"/>
      <c r="C11" s="1368"/>
      <c r="D11" s="1369"/>
    </row>
    <row r="12" spans="1:4" ht="15">
      <c r="A12" s="372" t="s">
        <v>347</v>
      </c>
      <c r="B12" s="472"/>
      <c r="C12" s="1308">
        <v>214487.96</v>
      </c>
      <c r="D12" s="1309"/>
    </row>
    <row r="13" spans="1:4" ht="14.25">
      <c r="A13" s="471" t="s">
        <v>538</v>
      </c>
      <c r="B13" s="473"/>
      <c r="C13" s="1310">
        <v>1074298.04</v>
      </c>
      <c r="D13" s="1311"/>
    </row>
    <row r="14" spans="1:4" ht="14.25">
      <c r="A14" s="470" t="s">
        <v>647</v>
      </c>
      <c r="B14" s="474"/>
      <c r="C14" s="1312">
        <v>1094443.27</v>
      </c>
      <c r="D14" s="1313"/>
    </row>
    <row r="15" spans="1:7" ht="15">
      <c r="A15" s="475" t="s">
        <v>348</v>
      </c>
      <c r="B15" s="476"/>
      <c r="C15" s="1314">
        <f>C12+C13-C14</f>
        <v>194342.72999999998</v>
      </c>
      <c r="D15" s="1372"/>
      <c r="G15" t="s">
        <v>465</v>
      </c>
    </row>
    <row r="16" spans="1:4" ht="14.25">
      <c r="A16" s="470" t="s">
        <v>539</v>
      </c>
      <c r="B16" s="527"/>
      <c r="C16" s="1373">
        <v>946441.94</v>
      </c>
      <c r="D16" s="1374"/>
    </row>
    <row r="17" spans="2:4" ht="12.75">
      <c r="B17" s="83"/>
      <c r="C17" s="81"/>
      <c r="D17" s="314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346</v>
      </c>
      <c r="B19" s="1340"/>
      <c r="C19" s="1340"/>
      <c r="D19" s="1340"/>
    </row>
    <row r="20" spans="1:4" ht="12.75">
      <c r="A20" s="82"/>
      <c r="B20" s="82"/>
      <c r="C20" s="103"/>
      <c r="D20" s="82"/>
    </row>
    <row r="21" spans="1:4" ht="26.25" thickBot="1">
      <c r="A21" s="481" t="s">
        <v>477</v>
      </c>
      <c r="B21" s="482" t="s">
        <v>667</v>
      </c>
      <c r="C21" s="409" t="s">
        <v>673</v>
      </c>
      <c r="D21" s="453" t="s">
        <v>793</v>
      </c>
    </row>
    <row r="22" spans="1:4" ht="16.5" thickBot="1">
      <c r="A22" s="477" t="s">
        <v>913</v>
      </c>
      <c r="B22" s="483"/>
      <c r="C22" s="456"/>
      <c r="D22" s="664"/>
    </row>
    <row r="23" spans="1:4" ht="26.25">
      <c r="A23" s="546" t="s">
        <v>105</v>
      </c>
      <c r="B23" s="394" t="s">
        <v>652</v>
      </c>
      <c r="C23" s="395"/>
      <c r="D23" s="396">
        <v>189131.41</v>
      </c>
    </row>
    <row r="24" spans="1:4" ht="15">
      <c r="A24" s="492" t="s">
        <v>654</v>
      </c>
      <c r="B24" s="398" t="s">
        <v>656</v>
      </c>
      <c r="C24" s="392" t="s">
        <v>801</v>
      </c>
      <c r="D24" s="393">
        <v>110808.84</v>
      </c>
    </row>
    <row r="25" spans="1:4" ht="24.75">
      <c r="A25" s="493" t="s">
        <v>14</v>
      </c>
      <c r="B25" s="397" t="s">
        <v>657</v>
      </c>
      <c r="C25" s="404"/>
      <c r="D25" s="396">
        <v>138525.4</v>
      </c>
    </row>
    <row r="26" spans="1:4" ht="15">
      <c r="A26" s="388" t="s">
        <v>931</v>
      </c>
      <c r="B26" s="399" t="s">
        <v>661</v>
      </c>
      <c r="C26" s="400"/>
      <c r="D26" s="393">
        <v>203.9</v>
      </c>
    </row>
    <row r="27" spans="1:4" ht="29.25">
      <c r="A27" s="389" t="s">
        <v>395</v>
      </c>
      <c r="B27" s="397"/>
      <c r="C27" s="404"/>
      <c r="D27" s="396">
        <v>23116.11</v>
      </c>
    </row>
    <row r="28" spans="1:4" ht="15.75" thickBot="1">
      <c r="A28" s="390" t="s">
        <v>799</v>
      </c>
      <c r="B28" s="609"/>
      <c r="C28" s="617"/>
      <c r="D28" s="618">
        <v>33633.03</v>
      </c>
    </row>
    <row r="29" spans="1:4" ht="15.75" thickBot="1">
      <c r="A29" s="805" t="s">
        <v>701</v>
      </c>
      <c r="B29" s="980"/>
      <c r="C29" s="796"/>
      <c r="D29" s="940">
        <v>495418.69</v>
      </c>
    </row>
    <row r="30" spans="1:4" ht="15.75" thickBot="1">
      <c r="A30" s="487" t="s">
        <v>914</v>
      </c>
      <c r="B30" s="461"/>
      <c r="C30" s="462"/>
      <c r="D30" s="463"/>
    </row>
    <row r="31" spans="1:4" ht="24">
      <c r="A31" s="943" t="s">
        <v>194</v>
      </c>
      <c r="B31" s="433" t="s">
        <v>920</v>
      </c>
      <c r="C31" s="443" t="s">
        <v>673</v>
      </c>
      <c r="D31" s="444" t="s">
        <v>793</v>
      </c>
    </row>
    <row r="32" spans="1:4" ht="15">
      <c r="A32" s="377" t="s">
        <v>697</v>
      </c>
      <c r="B32" s="364" t="s">
        <v>478</v>
      </c>
      <c r="C32" s="441">
        <v>1</v>
      </c>
      <c r="D32" s="441">
        <v>622.81</v>
      </c>
    </row>
    <row r="33" spans="1:4" ht="15">
      <c r="A33" s="799" t="s">
        <v>60</v>
      </c>
      <c r="B33" s="1164" t="s">
        <v>817</v>
      </c>
      <c r="C33" s="836">
        <v>2</v>
      </c>
      <c r="D33" s="836">
        <v>4907.32</v>
      </c>
    </row>
    <row r="34" spans="1:4" ht="15.75" thickBot="1">
      <c r="A34" s="807" t="s">
        <v>598</v>
      </c>
      <c r="B34" s="1164"/>
      <c r="C34" s="439"/>
      <c r="D34" s="1158">
        <v>112905.09</v>
      </c>
    </row>
    <row r="35" spans="1:4" ht="15.75" thickBot="1">
      <c r="A35" s="806" t="s">
        <v>701</v>
      </c>
      <c r="B35" s="1018"/>
      <c r="C35" s="803"/>
      <c r="D35" s="1169">
        <v>118435.22</v>
      </c>
    </row>
    <row r="36" spans="1:4" ht="15.75">
      <c r="A36" s="1086" t="s">
        <v>971</v>
      </c>
      <c r="B36" s="1166"/>
      <c r="C36" s="1167"/>
      <c r="D36" s="687"/>
    </row>
    <row r="37" spans="1:4" ht="15">
      <c r="A37" s="488" t="s">
        <v>64</v>
      </c>
      <c r="B37" s="364" t="s">
        <v>427</v>
      </c>
      <c r="C37" s="1168">
        <v>1</v>
      </c>
      <c r="D37" s="634">
        <v>4678.21</v>
      </c>
    </row>
    <row r="38" spans="1:4" ht="15">
      <c r="A38" s="488" t="s">
        <v>173</v>
      </c>
      <c r="B38" s="364" t="s">
        <v>478</v>
      </c>
      <c r="C38" s="1168">
        <v>1</v>
      </c>
      <c r="D38" s="634">
        <v>455.63</v>
      </c>
    </row>
    <row r="39" spans="1:4" ht="15">
      <c r="A39" s="488" t="s">
        <v>239</v>
      </c>
      <c r="B39" s="364" t="s">
        <v>478</v>
      </c>
      <c r="C39" s="1168">
        <v>6</v>
      </c>
      <c r="D39" s="634">
        <v>10809.92</v>
      </c>
    </row>
    <row r="40" spans="1:4" ht="15">
      <c r="A40" s="488" t="s">
        <v>455</v>
      </c>
      <c r="B40" s="364"/>
      <c r="C40" s="1168">
        <v>11</v>
      </c>
      <c r="D40" s="634">
        <v>8240.68</v>
      </c>
    </row>
    <row r="41" spans="1:4" ht="15">
      <c r="A41" s="488" t="s">
        <v>975</v>
      </c>
      <c r="B41" s="364" t="s">
        <v>478</v>
      </c>
      <c r="C41" s="1168">
        <v>3</v>
      </c>
      <c r="D41" s="634">
        <v>1755.15</v>
      </c>
    </row>
    <row r="42" spans="1:4" ht="15">
      <c r="A42" s="488" t="s">
        <v>974</v>
      </c>
      <c r="B42" s="364" t="s">
        <v>478</v>
      </c>
      <c r="C42" s="1168">
        <v>1</v>
      </c>
      <c r="D42" s="634">
        <v>1961.8</v>
      </c>
    </row>
    <row r="43" spans="1:4" ht="15">
      <c r="A43" s="389" t="s">
        <v>972</v>
      </c>
      <c r="B43" s="754"/>
      <c r="C43" s="491">
        <v>1</v>
      </c>
      <c r="D43" s="402">
        <v>26603</v>
      </c>
    </row>
    <row r="44" spans="1:4" ht="15.75" thickBot="1">
      <c r="A44" s="942" t="s">
        <v>324</v>
      </c>
      <c r="B44" s="978" t="s">
        <v>211</v>
      </c>
      <c r="C44" s="1165">
        <v>3</v>
      </c>
      <c r="D44" s="1158">
        <v>11815.89</v>
      </c>
    </row>
    <row r="45" spans="1:4" ht="15.75" thickBot="1">
      <c r="A45" s="806" t="s">
        <v>701</v>
      </c>
      <c r="B45" s="1018"/>
      <c r="C45" s="462"/>
      <c r="D45" s="858">
        <v>66320.28</v>
      </c>
    </row>
    <row r="46" spans="1:4" ht="15">
      <c r="A46" s="943" t="s">
        <v>780</v>
      </c>
      <c r="B46" s="464"/>
      <c r="C46" s="652"/>
      <c r="D46" s="441"/>
    </row>
    <row r="47" spans="1:4" ht="15.75">
      <c r="A47" s="554" t="s">
        <v>300</v>
      </c>
      <c r="B47" s="364" t="s">
        <v>478</v>
      </c>
      <c r="C47" s="615">
        <v>1</v>
      </c>
      <c r="D47" s="532">
        <v>657.97</v>
      </c>
    </row>
    <row r="48" spans="1:4" ht="16.5" thickBot="1">
      <c r="A48" s="833" t="s">
        <v>197</v>
      </c>
      <c r="B48" s="978" t="s">
        <v>478</v>
      </c>
      <c r="C48" s="616">
        <v>2</v>
      </c>
      <c r="D48" s="541">
        <v>1137.36</v>
      </c>
    </row>
    <row r="49" spans="1:4" ht="15.75" thickBot="1">
      <c r="A49" s="806" t="s">
        <v>701</v>
      </c>
      <c r="B49" s="1018"/>
      <c r="C49" s="550"/>
      <c r="D49" s="858">
        <v>1795.33</v>
      </c>
    </row>
    <row r="50" spans="1:4" ht="15.75">
      <c r="A50" s="876" t="s">
        <v>424</v>
      </c>
      <c r="B50" s="760"/>
      <c r="C50" s="652"/>
      <c r="D50" s="441"/>
    </row>
    <row r="51" spans="1:4" ht="15.75">
      <c r="A51" s="554" t="s">
        <v>490</v>
      </c>
      <c r="B51" s="364" t="s">
        <v>478</v>
      </c>
      <c r="C51" s="615">
        <v>1</v>
      </c>
      <c r="D51" s="541">
        <v>766.94</v>
      </c>
    </row>
    <row r="52" spans="1:4" ht="15">
      <c r="A52" s="369" t="s">
        <v>221</v>
      </c>
      <c r="B52" s="364" t="s">
        <v>478</v>
      </c>
      <c r="C52" s="615">
        <v>1</v>
      </c>
      <c r="D52" s="541">
        <v>1142.77</v>
      </c>
    </row>
    <row r="53" spans="1:4" ht="15.75">
      <c r="A53" s="554" t="s">
        <v>411</v>
      </c>
      <c r="B53" s="364" t="s">
        <v>478</v>
      </c>
      <c r="C53" s="615">
        <v>1</v>
      </c>
      <c r="D53" s="541">
        <v>708.95</v>
      </c>
    </row>
    <row r="54" spans="1:4" ht="16.5" thickBot="1">
      <c r="A54" s="827" t="s">
        <v>695</v>
      </c>
      <c r="B54" s="978"/>
      <c r="C54" s="616">
        <v>2</v>
      </c>
      <c r="D54" s="541">
        <v>1078.02</v>
      </c>
    </row>
    <row r="55" spans="1:4" ht="15.75" thickBot="1">
      <c r="A55" s="806" t="s">
        <v>701</v>
      </c>
      <c r="B55" s="1018"/>
      <c r="C55" s="550"/>
      <c r="D55" s="858">
        <v>3696.68</v>
      </c>
    </row>
    <row r="56" spans="1:4" ht="15">
      <c r="A56" s="808" t="s">
        <v>425</v>
      </c>
      <c r="B56" s="760"/>
      <c r="C56" s="652"/>
      <c r="D56" s="835"/>
    </row>
    <row r="57" spans="1:4" ht="15.75">
      <c r="A57" s="554" t="s">
        <v>212</v>
      </c>
      <c r="B57" s="364" t="s">
        <v>81</v>
      </c>
      <c r="C57" s="615">
        <v>1</v>
      </c>
      <c r="D57" s="541">
        <v>2871.92</v>
      </c>
    </row>
    <row r="58" spans="1:4" ht="15.75" thickBot="1">
      <c r="A58" s="807" t="s">
        <v>882</v>
      </c>
      <c r="B58" s="978"/>
      <c r="C58" s="616">
        <v>6</v>
      </c>
      <c r="D58" s="541">
        <v>10730.69</v>
      </c>
    </row>
    <row r="59" spans="1:4" ht="15.75" thickBot="1">
      <c r="A59" s="806" t="s">
        <v>701</v>
      </c>
      <c r="B59" s="1018"/>
      <c r="C59" s="550"/>
      <c r="D59" s="858">
        <v>13602.61</v>
      </c>
    </row>
    <row r="60" spans="1:4" ht="15">
      <c r="A60" s="808" t="s">
        <v>973</v>
      </c>
      <c r="B60" s="760"/>
      <c r="C60" s="385"/>
      <c r="D60" s="896"/>
    </row>
    <row r="61" spans="1:4" ht="15">
      <c r="A61" s="359" t="s">
        <v>886</v>
      </c>
      <c r="B61" s="364" t="s">
        <v>478</v>
      </c>
      <c r="C61" s="480">
        <v>4</v>
      </c>
      <c r="D61" s="532">
        <v>3815.36</v>
      </c>
    </row>
    <row r="62" spans="1:4" ht="15.75" thickBot="1">
      <c r="A62" s="807" t="s">
        <v>692</v>
      </c>
      <c r="B62" s="978" t="s">
        <v>478</v>
      </c>
      <c r="C62" s="1069">
        <v>2</v>
      </c>
      <c r="D62" s="541">
        <v>1079.05</v>
      </c>
    </row>
    <row r="63" spans="1:4" ht="15.75" thickBot="1">
      <c r="A63" s="806" t="s">
        <v>701</v>
      </c>
      <c r="B63" s="1018"/>
      <c r="C63" s="1070"/>
      <c r="D63" s="858">
        <v>4894.41</v>
      </c>
    </row>
    <row r="64" spans="1:4" ht="15.75" thickBot="1">
      <c r="A64" s="894" t="s">
        <v>375</v>
      </c>
      <c r="B64" s="1018"/>
      <c r="C64" s="1070"/>
      <c r="D64" s="858">
        <v>208744.53</v>
      </c>
    </row>
    <row r="65" spans="1:4" ht="15">
      <c r="A65" s="383"/>
      <c r="B65" s="760"/>
      <c r="C65" s="652"/>
      <c r="D65" s="959"/>
    </row>
    <row r="66" spans="1:4" ht="15.75">
      <c r="A66" s="1157" t="s">
        <v>453</v>
      </c>
      <c r="B66" s="364"/>
      <c r="C66" s="615"/>
      <c r="D66" s="1039">
        <v>41031.76</v>
      </c>
    </row>
    <row r="67" spans="1:4" ht="15">
      <c r="A67" s="513" t="s">
        <v>904</v>
      </c>
      <c r="B67" s="755"/>
      <c r="C67" s="615"/>
      <c r="D67" s="428">
        <v>26452.58</v>
      </c>
    </row>
    <row r="68" spans="1:4" ht="15">
      <c r="A68" s="955" t="s">
        <v>735</v>
      </c>
      <c r="B68" s="364"/>
      <c r="C68" s="679"/>
      <c r="D68" s="869">
        <v>174794.38</v>
      </c>
    </row>
    <row r="69" spans="1:4" ht="15.75" thickBot="1">
      <c r="A69" s="574"/>
      <c r="B69" s="978"/>
      <c r="C69" s="616"/>
      <c r="D69" s="541"/>
    </row>
    <row r="70" spans="1:4" ht="14.25" customHeight="1" thickBot="1">
      <c r="A70" s="806" t="s">
        <v>36</v>
      </c>
      <c r="B70" s="1018"/>
      <c r="C70" s="550"/>
      <c r="D70" s="858">
        <v>946441.94</v>
      </c>
    </row>
    <row r="71" spans="1:4" ht="15">
      <c r="A71" s="196"/>
      <c r="B71" s="196"/>
      <c r="C71" s="196"/>
      <c r="D71" s="197"/>
    </row>
    <row r="72" spans="1:4" ht="14.25">
      <c r="A72" s="764"/>
      <c r="B72" s="358"/>
      <c r="C72" s="359"/>
      <c r="D72" s="1262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332" t="s">
        <v>569</v>
      </c>
      <c r="B74" s="1332"/>
      <c r="C74" s="628"/>
      <c r="D74" s="608">
        <v>1094443.27</v>
      </c>
    </row>
    <row r="75" spans="1:4" ht="15">
      <c r="A75" s="1332" t="s">
        <v>570</v>
      </c>
      <c r="B75" s="1332"/>
      <c r="C75" s="607"/>
      <c r="D75" s="608">
        <v>946441.94</v>
      </c>
    </row>
    <row r="76" spans="1:4" ht="15">
      <c r="A76" s="1333" t="s">
        <v>571</v>
      </c>
      <c r="B76" s="1333"/>
      <c r="C76" s="629"/>
      <c r="D76" s="629">
        <v>-148001.33</v>
      </c>
    </row>
    <row r="77" spans="1:4" ht="15">
      <c r="A77" s="1332" t="s">
        <v>179</v>
      </c>
      <c r="B77" s="1332"/>
      <c r="C77" s="1258"/>
      <c r="D77" s="630">
        <v>-148001.33</v>
      </c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5">
      <c r="A82" s="538"/>
      <c r="B82" s="538"/>
      <c r="C82" s="1259"/>
      <c r="D82" s="1260"/>
    </row>
    <row r="83" ht="12.75">
      <c r="A83" s="735" t="s">
        <v>357</v>
      </c>
    </row>
    <row r="84" ht="12.75">
      <c r="A84" s="735" t="s">
        <v>906</v>
      </c>
    </row>
    <row r="85" ht="12.75">
      <c r="A85" s="735" t="s">
        <v>358</v>
      </c>
    </row>
    <row r="86" ht="12.75">
      <c r="A86" s="735"/>
    </row>
    <row r="87" ht="12.75">
      <c r="A87" s="735"/>
    </row>
    <row r="88" ht="12.75">
      <c r="A88" s="735"/>
    </row>
  </sheetData>
  <sheetProtection/>
  <mergeCells count="19">
    <mergeCell ref="A6:B6"/>
    <mergeCell ref="A8:B8"/>
    <mergeCell ref="C2:D2"/>
    <mergeCell ref="A3:B3"/>
    <mergeCell ref="A4:B4"/>
    <mergeCell ref="A5:B5"/>
    <mergeCell ref="A19:D19"/>
    <mergeCell ref="C12:D12"/>
    <mergeCell ref="C13:D13"/>
    <mergeCell ref="C14:D14"/>
    <mergeCell ref="C15:D15"/>
    <mergeCell ref="A10:B11"/>
    <mergeCell ref="C10:D11"/>
    <mergeCell ref="C16:D16"/>
    <mergeCell ref="A18:D18"/>
    <mergeCell ref="A74:B74"/>
    <mergeCell ref="A75:B75"/>
    <mergeCell ref="A76:B76"/>
    <mergeCell ref="A77:B7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99CC"/>
  </sheetPr>
  <dimension ref="A2:H108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63.7109375" style="1" customWidth="1"/>
    <col min="2" max="2" width="10.28125" style="1" customWidth="1"/>
    <col min="3" max="3" width="13.57421875" style="1" customWidth="1"/>
    <col min="4" max="4" width="15.140625" style="1" customWidth="1"/>
    <col min="5" max="6" width="0" style="0" hidden="1" customWidth="1"/>
    <col min="8" max="8" width="10.7109375" style="0" bestFit="1" customWidth="1"/>
  </cols>
  <sheetData>
    <row r="2" spans="3:4" ht="12.75">
      <c r="C2" s="1364" t="s">
        <v>792</v>
      </c>
      <c r="D2" s="1364"/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804</v>
      </c>
      <c r="B6" s="1363"/>
      <c r="C6" s="91"/>
      <c r="D6" s="91"/>
    </row>
    <row r="7" spans="1:3" ht="13.5" customHeight="1">
      <c r="A7" s="26"/>
      <c r="B7" s="26"/>
      <c r="C7"/>
    </row>
    <row r="8" spans="1:4" ht="15">
      <c r="A8" s="1343" t="s">
        <v>340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1366" t="s">
        <v>642</v>
      </c>
      <c r="B10" s="1367"/>
      <c r="C10" s="1366" t="s">
        <v>488</v>
      </c>
      <c r="D10" s="1367"/>
    </row>
    <row r="11" spans="1:4" ht="12.75">
      <c r="A11" s="1368"/>
      <c r="B11" s="1369"/>
      <c r="C11" s="1368"/>
      <c r="D11" s="1369"/>
    </row>
    <row r="12" spans="1:4" ht="15">
      <c r="A12" s="372" t="s">
        <v>347</v>
      </c>
      <c r="B12" s="472"/>
      <c r="C12" s="1308">
        <v>118371.11</v>
      </c>
      <c r="D12" s="1309"/>
    </row>
    <row r="13" spans="1:4" ht="14.25">
      <c r="A13" s="471" t="s">
        <v>486</v>
      </c>
      <c r="B13" s="473"/>
      <c r="C13" s="1310">
        <v>564032.58</v>
      </c>
      <c r="D13" s="1311"/>
    </row>
    <row r="14" spans="1:4" ht="14.25">
      <c r="A14" s="470" t="s">
        <v>647</v>
      </c>
      <c r="B14" s="474"/>
      <c r="C14" s="1312">
        <v>550165.04</v>
      </c>
      <c r="D14" s="1313"/>
    </row>
    <row r="15" spans="1:4" ht="15">
      <c r="A15" s="475" t="s">
        <v>348</v>
      </c>
      <c r="B15" s="476"/>
      <c r="C15" s="1314">
        <f>C12+C13-C14</f>
        <v>132238.6499999999</v>
      </c>
      <c r="D15" s="1372"/>
    </row>
    <row r="16" spans="1:8" ht="14.25">
      <c r="A16" s="470" t="s">
        <v>539</v>
      </c>
      <c r="B16" s="527"/>
      <c r="C16" s="1373">
        <v>490418.2</v>
      </c>
      <c r="D16" s="1374"/>
      <c r="H16" s="620"/>
    </row>
    <row r="17" spans="2:4" ht="12.75">
      <c r="B17" s="83"/>
      <c r="C17" s="81"/>
      <c r="D17" s="314"/>
    </row>
    <row r="18" spans="1:4" ht="15.75">
      <c r="A18" s="1340" t="s">
        <v>650</v>
      </c>
      <c r="B18" s="1340"/>
      <c r="C18" s="1340"/>
      <c r="D18" s="1340"/>
    </row>
    <row r="19" spans="1:4" ht="15.75">
      <c r="A19" s="1340" t="s">
        <v>346</v>
      </c>
      <c r="B19" s="1340"/>
      <c r="C19" s="1340"/>
      <c r="D19" s="1340"/>
    </row>
    <row r="20" spans="1:4" ht="26.25" thickBot="1">
      <c r="A20" s="660"/>
      <c r="B20" s="482" t="s">
        <v>667</v>
      </c>
      <c r="C20" s="409" t="s">
        <v>673</v>
      </c>
      <c r="D20" s="453"/>
    </row>
    <row r="21" spans="1:4" ht="16.5" thickBot="1">
      <c r="A21" s="477" t="s">
        <v>913</v>
      </c>
      <c r="B21" s="483"/>
      <c r="C21" s="456"/>
      <c r="D21" s="664"/>
    </row>
    <row r="22" spans="1:4" ht="26.25">
      <c r="A22" s="546" t="s">
        <v>105</v>
      </c>
      <c r="B22" s="394" t="s">
        <v>652</v>
      </c>
      <c r="C22" s="395"/>
      <c r="D22" s="396">
        <v>118635.79</v>
      </c>
    </row>
    <row r="23" spans="1:4" ht="15">
      <c r="A23" s="492" t="s">
        <v>654</v>
      </c>
      <c r="B23" s="398" t="s">
        <v>656</v>
      </c>
      <c r="C23" s="392" t="s">
        <v>801</v>
      </c>
      <c r="D23" s="393">
        <v>69506.67</v>
      </c>
    </row>
    <row r="24" spans="1:4" ht="24.75">
      <c r="A24" s="413" t="s">
        <v>14</v>
      </c>
      <c r="B24" s="397" t="s">
        <v>657</v>
      </c>
      <c r="C24" s="404"/>
      <c r="D24" s="396">
        <v>86892.34</v>
      </c>
    </row>
    <row r="25" spans="1:4" ht="17.25" customHeight="1">
      <c r="A25" s="389" t="s">
        <v>395</v>
      </c>
      <c r="B25" s="399"/>
      <c r="C25" s="508"/>
      <c r="D25" s="393">
        <v>8267.75</v>
      </c>
    </row>
    <row r="26" spans="1:4" ht="15.75" thickBot="1">
      <c r="A26" s="492" t="s">
        <v>578</v>
      </c>
      <c r="B26" s="609" t="s">
        <v>661</v>
      </c>
      <c r="C26" s="617"/>
      <c r="D26" s="618">
        <v>14663.84</v>
      </c>
    </row>
    <row r="27" spans="1:4" ht="15.75" thickBot="1">
      <c r="A27" s="805" t="s">
        <v>701</v>
      </c>
      <c r="B27" s="980"/>
      <c r="C27" s="796"/>
      <c r="D27" s="940">
        <v>297966.39</v>
      </c>
    </row>
    <row r="28" spans="1:4" ht="15.75" thickBot="1">
      <c r="A28" s="487" t="s">
        <v>914</v>
      </c>
      <c r="B28" s="461"/>
      <c r="C28" s="462"/>
      <c r="D28" s="463"/>
    </row>
    <row r="29" spans="1:4" ht="24">
      <c r="A29" s="943" t="s">
        <v>194</v>
      </c>
      <c r="B29" s="433" t="s">
        <v>920</v>
      </c>
      <c r="C29" s="443" t="s">
        <v>673</v>
      </c>
      <c r="D29" s="444" t="s">
        <v>793</v>
      </c>
    </row>
    <row r="30" spans="1:4" ht="14.25">
      <c r="A30" s="383" t="s">
        <v>953</v>
      </c>
      <c r="B30" s="433"/>
      <c r="C30" s="443">
        <v>2</v>
      </c>
      <c r="D30" s="444">
        <v>8714.99</v>
      </c>
    </row>
    <row r="31" spans="1:4" ht="14.25">
      <c r="A31" s="383" t="s">
        <v>11</v>
      </c>
      <c r="B31" s="433"/>
      <c r="C31" s="443"/>
      <c r="D31" s="444">
        <v>11358.35</v>
      </c>
    </row>
    <row r="32" spans="1:4" ht="15" thickBot="1">
      <c r="A32" s="843" t="s">
        <v>420</v>
      </c>
      <c r="B32" s="924"/>
      <c r="C32" s="432"/>
      <c r="D32" s="1148">
        <v>6714.85</v>
      </c>
    </row>
    <row r="33" spans="1:4" ht="15.75" thickBot="1">
      <c r="A33" s="806" t="s">
        <v>701</v>
      </c>
      <c r="B33" s="957"/>
      <c r="C33" s="462"/>
      <c r="D33" s="858">
        <v>26788.19</v>
      </c>
    </row>
    <row r="34" spans="1:4" ht="15">
      <c r="A34" s="513" t="s">
        <v>445</v>
      </c>
      <c r="B34" s="385"/>
      <c r="C34" s="652"/>
      <c r="D34" s="441"/>
    </row>
    <row r="35" spans="1:4" ht="15.75">
      <c r="A35" s="547" t="s">
        <v>455</v>
      </c>
      <c r="B35" s="365"/>
      <c r="C35" s="615">
        <v>1</v>
      </c>
      <c r="D35" s="421">
        <v>1582.68</v>
      </c>
    </row>
    <row r="36" spans="1:4" ht="15.75">
      <c r="A36" s="554" t="s">
        <v>972</v>
      </c>
      <c r="B36" s="365"/>
      <c r="C36" s="615">
        <v>1</v>
      </c>
      <c r="D36" s="541">
        <v>26603</v>
      </c>
    </row>
    <row r="37" spans="1:4" ht="16.5" thickBot="1">
      <c r="A37" s="833" t="s">
        <v>177</v>
      </c>
      <c r="B37" s="758"/>
      <c r="C37" s="616"/>
      <c r="D37" s="541"/>
    </row>
    <row r="38" spans="1:4" ht="15">
      <c r="A38" s="879" t="s">
        <v>701</v>
      </c>
      <c r="B38" s="849"/>
      <c r="C38" s="850"/>
      <c r="D38" s="1059">
        <v>28185.68</v>
      </c>
    </row>
    <row r="39" spans="1:4" ht="15">
      <c r="A39" s="955" t="s">
        <v>780</v>
      </c>
      <c r="B39" s="365"/>
      <c r="C39" s="421"/>
      <c r="D39" s="532"/>
    </row>
    <row r="40" spans="1:4" ht="15">
      <c r="A40" s="387" t="s">
        <v>197</v>
      </c>
      <c r="B40" s="365"/>
      <c r="C40" s="421">
        <v>5</v>
      </c>
      <c r="D40" s="532">
        <v>2693.69</v>
      </c>
    </row>
    <row r="41" spans="1:4" ht="15">
      <c r="A41" s="387" t="s">
        <v>235</v>
      </c>
      <c r="B41" s="365" t="s">
        <v>211</v>
      </c>
      <c r="C41" s="421">
        <v>1</v>
      </c>
      <c r="D41" s="532">
        <v>1236.8</v>
      </c>
    </row>
    <row r="42" spans="1:4" ht="15.75" thickBot="1">
      <c r="A42" s="526" t="s">
        <v>174</v>
      </c>
      <c r="B42" s="758" t="s">
        <v>40</v>
      </c>
      <c r="C42" s="439">
        <v>2</v>
      </c>
      <c r="D42" s="541">
        <v>3537.74</v>
      </c>
    </row>
    <row r="43" spans="1:4" ht="15.75" thickBot="1">
      <c r="A43" s="806" t="s">
        <v>701</v>
      </c>
      <c r="B43" s="811"/>
      <c r="C43" s="828"/>
      <c r="D43" s="932">
        <v>7468.23</v>
      </c>
    </row>
    <row r="44" spans="1:4" ht="15">
      <c r="A44" s="890" t="s">
        <v>424</v>
      </c>
      <c r="B44" s="570"/>
      <c r="C44" s="441"/>
      <c r="D44" s="598"/>
    </row>
    <row r="45" spans="1:4" ht="15.75" thickBot="1">
      <c r="A45" s="526" t="s">
        <v>579</v>
      </c>
      <c r="B45" s="758"/>
      <c r="C45" s="439">
        <v>1</v>
      </c>
      <c r="D45" s="541">
        <v>543.88</v>
      </c>
    </row>
    <row r="46" spans="1:4" ht="15.75" thickBot="1">
      <c r="A46" s="806" t="s">
        <v>701</v>
      </c>
      <c r="B46" s="811"/>
      <c r="C46" s="803"/>
      <c r="D46" s="858">
        <v>543.88</v>
      </c>
    </row>
    <row r="47" spans="1:4" ht="15">
      <c r="A47" s="808" t="s">
        <v>425</v>
      </c>
      <c r="B47" s="570"/>
      <c r="C47" s="441"/>
      <c r="D47" s="598"/>
    </row>
    <row r="48" spans="1:4" ht="15.75" thickBot="1">
      <c r="A48" s="807" t="s">
        <v>882</v>
      </c>
      <c r="B48" s="758"/>
      <c r="C48" s="439">
        <v>1</v>
      </c>
      <c r="D48" s="541">
        <v>374</v>
      </c>
    </row>
    <row r="49" spans="1:4" ht="15.75" thickBot="1">
      <c r="A49" s="806" t="s">
        <v>701</v>
      </c>
      <c r="B49" s="811"/>
      <c r="C49" s="803"/>
      <c r="D49" s="858">
        <v>374</v>
      </c>
    </row>
    <row r="50" spans="1:4" ht="15">
      <c r="A50" s="808" t="s">
        <v>386</v>
      </c>
      <c r="B50" s="570"/>
      <c r="C50" s="661"/>
      <c r="D50" s="835"/>
    </row>
    <row r="51" spans="1:4" ht="15">
      <c r="A51" s="799" t="s">
        <v>692</v>
      </c>
      <c r="B51" s="834"/>
      <c r="C51" s="421">
        <v>3</v>
      </c>
      <c r="D51" s="532">
        <v>2819.59</v>
      </c>
    </row>
    <row r="52" spans="1:4" ht="15.75" thickBot="1">
      <c r="A52" s="807" t="s">
        <v>886</v>
      </c>
      <c r="B52" s="758" t="s">
        <v>40</v>
      </c>
      <c r="C52" s="616">
        <v>3</v>
      </c>
      <c r="D52" s="541">
        <v>1482.13</v>
      </c>
    </row>
    <row r="53" spans="1:4" ht="15">
      <c r="A53" s="879" t="s">
        <v>701</v>
      </c>
      <c r="B53" s="849"/>
      <c r="C53" s="850"/>
      <c r="D53" s="1059">
        <v>4301.72</v>
      </c>
    </row>
    <row r="54" spans="1:4" ht="15.75" thickBot="1">
      <c r="A54" s="880"/>
      <c r="B54" s="758"/>
      <c r="C54" s="439"/>
      <c r="D54" s="1039"/>
    </row>
    <row r="55" spans="1:4" ht="15.75" thickBot="1">
      <c r="A55" s="806" t="s">
        <v>580</v>
      </c>
      <c r="B55" s="811"/>
      <c r="C55" s="803"/>
      <c r="D55" s="858">
        <v>67664.7</v>
      </c>
    </row>
    <row r="56" spans="1:4" ht="15">
      <c r="A56" s="1081"/>
      <c r="B56" s="570"/>
      <c r="C56" s="441"/>
      <c r="D56" s="1051"/>
    </row>
    <row r="57" spans="1:4" ht="15">
      <c r="A57" s="359"/>
      <c r="B57" s="365"/>
      <c r="C57" s="421"/>
      <c r="D57" s="532"/>
    </row>
    <row r="58" spans="1:4" ht="15">
      <c r="A58" s="1151" t="s">
        <v>743</v>
      </c>
      <c r="B58" s="365"/>
      <c r="C58" s="431"/>
      <c r="D58" s="891">
        <v>25737.84</v>
      </c>
    </row>
    <row r="59" spans="1:4" ht="15.75">
      <c r="A59" s="1157" t="s">
        <v>904</v>
      </c>
      <c r="B59" s="365"/>
      <c r="C59" s="663"/>
      <c r="D59" s="891">
        <v>8479</v>
      </c>
    </row>
    <row r="60" spans="1:4" ht="15.75" thickBot="1">
      <c r="A60" s="943" t="s">
        <v>735</v>
      </c>
      <c r="B60" s="1065"/>
      <c r="C60" s="616"/>
      <c r="D60" s="1077">
        <v>90573.27</v>
      </c>
    </row>
    <row r="61" spans="1:4" ht="15.75" thickBot="1">
      <c r="A61" s="574"/>
      <c r="B61" s="849"/>
      <c r="C61" s="850"/>
      <c r="D61" s="954"/>
    </row>
    <row r="62" spans="1:4" ht="15.75" thickBot="1">
      <c r="A62" s="884" t="s">
        <v>918</v>
      </c>
      <c r="B62" s="957"/>
      <c r="C62" s="1024"/>
      <c r="D62" s="858">
        <v>490418.2</v>
      </c>
    </row>
    <row r="63" spans="1:4" ht="15">
      <c r="A63" s="572"/>
      <c r="B63" s="440"/>
      <c r="C63" s="715"/>
      <c r="D63" s="573"/>
    </row>
    <row r="64" spans="1:4" ht="14.25">
      <c r="A64" s="764"/>
      <c r="B64" s="358"/>
      <c r="C64" s="359"/>
      <c r="D64" s="1262"/>
    </row>
    <row r="65" spans="1:4" ht="15">
      <c r="A65" s="1251" t="s">
        <v>568</v>
      </c>
      <c r="B65" s="1257"/>
      <c r="C65" s="467"/>
      <c r="D65" s="467">
        <v>0</v>
      </c>
    </row>
    <row r="66" spans="1:4" ht="15">
      <c r="A66" s="1332" t="s">
        <v>569</v>
      </c>
      <c r="B66" s="1332"/>
      <c r="C66" s="628"/>
      <c r="D66" s="608">
        <v>550165.04</v>
      </c>
    </row>
    <row r="67" spans="1:4" ht="15">
      <c r="A67" s="1332" t="s">
        <v>570</v>
      </c>
      <c r="B67" s="1332"/>
      <c r="C67" s="607"/>
      <c r="D67" s="608">
        <v>490418.2</v>
      </c>
    </row>
    <row r="68" spans="1:4" ht="15">
      <c r="A68" s="1333" t="s">
        <v>571</v>
      </c>
      <c r="B68" s="1333"/>
      <c r="C68" s="629"/>
      <c r="D68" s="629">
        <v>-59746.84</v>
      </c>
    </row>
    <row r="69" spans="1:4" ht="15">
      <c r="A69" s="1332" t="s">
        <v>179</v>
      </c>
      <c r="B69" s="1332"/>
      <c r="C69" s="1258"/>
      <c r="D69" s="630">
        <v>-59746.84</v>
      </c>
    </row>
    <row r="70" spans="1:4" ht="15">
      <c r="A70" s="538"/>
      <c r="B70" s="538"/>
      <c r="C70" s="1259"/>
      <c r="D70" s="1260"/>
    </row>
    <row r="71" spans="1:4" ht="15">
      <c r="A71" s="538"/>
      <c r="B71" s="538"/>
      <c r="C71" s="1259"/>
      <c r="D71" s="1260"/>
    </row>
    <row r="72" spans="1:4" ht="15">
      <c r="A72" s="538"/>
      <c r="B72" s="538"/>
      <c r="C72" s="1259"/>
      <c r="D72" s="1260"/>
    </row>
    <row r="73" spans="1:4" ht="15">
      <c r="A73" s="538" t="s">
        <v>180</v>
      </c>
      <c r="B73" s="538"/>
      <c r="C73" s="1259" t="s">
        <v>573</v>
      </c>
      <c r="D73" s="1260"/>
    </row>
    <row r="74" spans="1:4" ht="15">
      <c r="A74" s="538"/>
      <c r="B74" s="538"/>
      <c r="C74" s="1259"/>
      <c r="D74" s="1260"/>
    </row>
    <row r="75" ht="12.75">
      <c r="A75" s="735" t="s">
        <v>357</v>
      </c>
    </row>
    <row r="76" ht="12.75">
      <c r="A76" s="735" t="s">
        <v>906</v>
      </c>
    </row>
    <row r="77" ht="12.75">
      <c r="A77" s="735" t="s">
        <v>358</v>
      </c>
    </row>
    <row r="106" ht="12.75">
      <c r="A106" s="690"/>
    </row>
    <row r="107" ht="12.75">
      <c r="A107" s="690"/>
    </row>
    <row r="108" ht="12.75">
      <c r="A108" s="690"/>
    </row>
  </sheetData>
  <sheetProtection/>
  <mergeCells count="19">
    <mergeCell ref="A6:B6"/>
    <mergeCell ref="A8:B8"/>
    <mergeCell ref="C2:D2"/>
    <mergeCell ref="A3:B3"/>
    <mergeCell ref="A4:B4"/>
    <mergeCell ref="A5:B5"/>
    <mergeCell ref="A19:D19"/>
    <mergeCell ref="C12:D12"/>
    <mergeCell ref="C13:D13"/>
    <mergeCell ref="C14:D14"/>
    <mergeCell ref="C15:D15"/>
    <mergeCell ref="A10:B11"/>
    <mergeCell ref="C10:D11"/>
    <mergeCell ref="C16:D16"/>
    <mergeCell ref="A18:D18"/>
    <mergeCell ref="A66:B66"/>
    <mergeCell ref="A67:B67"/>
    <mergeCell ref="A68:B68"/>
    <mergeCell ref="A69:B69"/>
  </mergeCells>
  <printOptions/>
  <pageMargins left="0.1968503937007874" right="0" top="0" bottom="0.15748031496062992" header="0.31496062992125984" footer="0.31496062992125984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">
      <selection activeCell="B15" sqref="B15:C16"/>
    </sheetView>
  </sheetViews>
  <sheetFormatPr defaultColWidth="9.140625" defaultRowHeight="12.75"/>
  <cols>
    <col min="1" max="1" width="0.85546875" style="1" customWidth="1"/>
    <col min="2" max="2" width="59.57421875" style="1" customWidth="1"/>
    <col min="3" max="3" width="11.140625" style="1" customWidth="1"/>
    <col min="4" max="4" width="17.140625" style="1" customWidth="1"/>
    <col min="5" max="5" width="14.7109375" style="1" customWidth="1"/>
    <col min="6" max="6" width="16.14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3" s="123" customFormat="1" ht="11.25" customHeight="1">
      <c r="B6" s="124"/>
      <c r="C6" s="124"/>
    </row>
    <row r="7" spans="2:4" ht="15.75">
      <c r="B7" s="1392" t="s">
        <v>828</v>
      </c>
      <c r="C7" s="1392"/>
      <c r="D7"/>
    </row>
    <row r="8" s="123" customFormat="1" ht="9.75" customHeight="1" thickBot="1">
      <c r="B8" s="125"/>
    </row>
    <row r="9" spans="2:5" ht="25.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101239.56+734.62</f>
        <v>101974.18</v>
      </c>
      <c r="E11" s="25">
        <v>18898.4</v>
      </c>
    </row>
    <row r="12" spans="2:5" ht="16.5" thickBot="1">
      <c r="B12" s="1398" t="s">
        <v>646</v>
      </c>
      <c r="C12" s="1399"/>
      <c r="D12" s="25">
        <f>859151.67+5529.03</f>
        <v>864680.7000000001</v>
      </c>
      <c r="E12" s="25">
        <v>33453.62</v>
      </c>
    </row>
    <row r="13" spans="2:5" ht="16.5" thickBot="1">
      <c r="B13" s="1398" t="s">
        <v>647</v>
      </c>
      <c r="C13" s="1399"/>
      <c r="D13" s="25">
        <f>827714.92+6011.29</f>
        <v>833726.2100000001</v>
      </c>
      <c r="E13" s="25">
        <v>49162.72</v>
      </c>
    </row>
    <row r="14" spans="2:5" ht="16.5" hidden="1" thickBot="1">
      <c r="B14" s="1398" t="s">
        <v>666</v>
      </c>
      <c r="C14" s="1399"/>
      <c r="D14" s="25"/>
      <c r="E14" s="25"/>
    </row>
    <row r="15" spans="2:5" ht="15.75" thickBot="1">
      <c r="B15" s="1341" t="s">
        <v>46</v>
      </c>
      <c r="C15" s="1342"/>
      <c r="D15" s="25">
        <v>63770.28</v>
      </c>
      <c r="E15" s="25"/>
    </row>
    <row r="16" spans="2:5" ht="15.75" thickBot="1">
      <c r="B16" s="1341" t="s">
        <v>47</v>
      </c>
      <c r="C16" s="1342"/>
      <c r="D16" s="25"/>
      <c r="E16" s="25"/>
    </row>
    <row r="17" spans="2:5" ht="16.5" thickBot="1">
      <c r="B17" s="1398" t="s">
        <v>648</v>
      </c>
      <c r="C17" s="1399"/>
      <c r="D17" s="25">
        <f>D11+D12-D13</f>
        <v>132928.67000000004</v>
      </c>
      <c r="E17" s="25">
        <f>E11+E12-E13</f>
        <v>3189.300000000003</v>
      </c>
    </row>
    <row r="18" spans="2:5" ht="16.5" thickBot="1">
      <c r="B18" s="1398" t="s">
        <v>806</v>
      </c>
      <c r="C18" s="1399"/>
      <c r="D18" s="75">
        <f>E22+E44</f>
        <v>716202.44</v>
      </c>
      <c r="E18" s="73">
        <v>18898.4</v>
      </c>
    </row>
    <row r="19" spans="2:5" ht="15.75">
      <c r="B19" s="1340" t="s">
        <v>650</v>
      </c>
      <c r="C19" s="1340"/>
      <c r="D19" s="1340"/>
      <c r="E19" s="1340"/>
    </row>
    <row r="20" spans="2:5" ht="16.5" thickBot="1">
      <c r="B20" s="1340" t="s">
        <v>891</v>
      </c>
      <c r="C20" s="1340"/>
      <c r="D20" s="1340"/>
      <c r="E20" s="1340"/>
    </row>
    <row r="21" spans="1:5" ht="29.25" customHeight="1" thickBot="1">
      <c r="A21" s="9"/>
      <c r="B21" s="127" t="s">
        <v>876</v>
      </c>
      <c r="C21" s="128" t="s">
        <v>667</v>
      </c>
      <c r="D21" s="129" t="s">
        <v>673</v>
      </c>
      <c r="E21" s="130" t="s">
        <v>793</v>
      </c>
    </row>
    <row r="22" spans="1:5" ht="18.75" customHeight="1" thickBot="1">
      <c r="A22" s="9"/>
      <c r="B22" s="114" t="s">
        <v>761</v>
      </c>
      <c r="C22" s="61"/>
      <c r="D22" s="10"/>
      <c r="E22" s="62">
        <f>E23+E29+E31+E32+E42</f>
        <v>461997.06</v>
      </c>
    </row>
    <row r="23" spans="1:5" s="82" customFormat="1" ht="28.5" customHeight="1" thickBot="1">
      <c r="A23" s="103"/>
      <c r="B23" s="120" t="s">
        <v>662</v>
      </c>
      <c r="C23" s="104" t="s">
        <v>652</v>
      </c>
      <c r="D23" s="93"/>
      <c r="E23" s="109">
        <v>129414</v>
      </c>
    </row>
    <row r="24" spans="2:5" s="82" customFormat="1" ht="31.5" hidden="1" thickBot="1">
      <c r="B24" s="36" t="s">
        <v>686</v>
      </c>
      <c r="C24" s="105" t="s">
        <v>661</v>
      </c>
      <c r="D24" s="95"/>
      <c r="E24" s="246"/>
    </row>
    <row r="25" spans="2:5" s="82" customFormat="1" ht="16.5" hidden="1" thickBot="1">
      <c r="B25" s="36" t="s">
        <v>765</v>
      </c>
      <c r="C25" s="105" t="s">
        <v>661</v>
      </c>
      <c r="D25" s="95"/>
      <c r="E25" s="246"/>
    </row>
    <row r="26" spans="2:5" s="82" customFormat="1" ht="39" hidden="1" thickBot="1">
      <c r="B26" s="36" t="s">
        <v>655</v>
      </c>
      <c r="C26" s="104" t="s">
        <v>653</v>
      </c>
      <c r="D26" s="106"/>
      <c r="E26" s="253"/>
    </row>
    <row r="27" spans="2:5" s="82" customFormat="1" ht="31.5" hidden="1" thickBot="1">
      <c r="B27" s="36" t="s">
        <v>796</v>
      </c>
      <c r="C27" s="105" t="s">
        <v>661</v>
      </c>
      <c r="D27" s="95"/>
      <c r="E27" s="246"/>
    </row>
    <row r="28" spans="2:5" s="82" customFormat="1" ht="46.5" hidden="1" thickBot="1">
      <c r="B28" s="36" t="s">
        <v>797</v>
      </c>
      <c r="C28" s="105" t="s">
        <v>661</v>
      </c>
      <c r="D28" s="95"/>
      <c r="E28" s="246"/>
    </row>
    <row r="29" spans="2:5" s="82" customFormat="1" ht="15" customHeight="1" thickBot="1">
      <c r="B29" s="120" t="s">
        <v>654</v>
      </c>
      <c r="C29" s="107" t="s">
        <v>656</v>
      </c>
      <c r="D29" s="93" t="s">
        <v>801</v>
      </c>
      <c r="E29" s="109">
        <v>151837.51</v>
      </c>
    </row>
    <row r="30" spans="2:5" s="82" customFormat="1" ht="31.5" hidden="1" thickBot="1">
      <c r="B30" s="36" t="s">
        <v>872</v>
      </c>
      <c r="C30" s="105" t="s">
        <v>661</v>
      </c>
      <c r="D30" s="94" t="s">
        <v>822</v>
      </c>
      <c r="E30" s="246"/>
    </row>
    <row r="31" spans="2:5" s="82" customFormat="1" ht="15" customHeight="1" thickBot="1">
      <c r="B31" s="120" t="s">
        <v>658</v>
      </c>
      <c r="C31" s="104" t="s">
        <v>657</v>
      </c>
      <c r="D31" s="93"/>
      <c r="E31" s="109">
        <v>133049.45</v>
      </c>
    </row>
    <row r="32" spans="2:5" s="82" customFormat="1" ht="15" customHeight="1" thickBot="1">
      <c r="B32" s="67" t="s">
        <v>879</v>
      </c>
      <c r="C32" s="104" t="s">
        <v>661</v>
      </c>
      <c r="D32" s="108"/>
      <c r="E32" s="109">
        <f>736.18+15467.67</f>
        <v>16203.85</v>
      </c>
    </row>
    <row r="33" spans="2:5" s="82" customFormat="1" ht="27" hidden="1" thickBot="1">
      <c r="B33" s="36" t="s">
        <v>758</v>
      </c>
      <c r="C33" s="104" t="s">
        <v>665</v>
      </c>
      <c r="D33" s="93"/>
      <c r="E33" s="247"/>
    </row>
    <row r="34" spans="2:5" s="82" customFormat="1" ht="31.5" hidden="1" thickBot="1">
      <c r="B34" s="36" t="s">
        <v>664</v>
      </c>
      <c r="C34" s="105" t="s">
        <v>661</v>
      </c>
      <c r="D34" s="95"/>
      <c r="E34" s="246"/>
    </row>
    <row r="35" spans="2:5" s="82" customFormat="1" ht="31.5" hidden="1" thickBot="1">
      <c r="B35" s="36" t="s">
        <v>671</v>
      </c>
      <c r="C35" s="105" t="s">
        <v>661</v>
      </c>
      <c r="D35" s="99"/>
      <c r="E35" s="248"/>
    </row>
    <row r="36" spans="2:5" s="82" customFormat="1" ht="94.5" hidden="1" thickBot="1">
      <c r="B36" s="36" t="s">
        <v>873</v>
      </c>
      <c r="C36" s="105" t="s">
        <v>661</v>
      </c>
      <c r="D36" s="95"/>
      <c r="E36" s="246"/>
    </row>
    <row r="37" spans="2:5" s="82" customFormat="1" ht="46.5" hidden="1" thickBot="1">
      <c r="B37" s="36" t="s">
        <v>767</v>
      </c>
      <c r="C37" s="104" t="s">
        <v>766</v>
      </c>
      <c r="D37" s="93"/>
      <c r="E37" s="247"/>
    </row>
    <row r="38" spans="2:5" s="82" customFormat="1" ht="31.5" hidden="1" thickBot="1">
      <c r="B38" s="36" t="s">
        <v>668</v>
      </c>
      <c r="C38" s="105" t="s">
        <v>661</v>
      </c>
      <c r="D38" s="95"/>
      <c r="E38" s="246"/>
    </row>
    <row r="39" spans="2:5" s="82" customFormat="1" ht="16.5" hidden="1" thickBot="1">
      <c r="B39" s="36" t="s">
        <v>799</v>
      </c>
      <c r="C39" s="105" t="s">
        <v>661</v>
      </c>
      <c r="D39" s="95"/>
      <c r="E39" s="246"/>
    </row>
    <row r="40" spans="2:5" s="82" customFormat="1" ht="52.5" hidden="1" thickBot="1">
      <c r="B40" s="36" t="s">
        <v>670</v>
      </c>
      <c r="C40" s="104" t="s">
        <v>684</v>
      </c>
      <c r="D40" s="101"/>
      <c r="E40" s="249"/>
    </row>
    <row r="41" spans="2:5" s="82" customFormat="1" ht="48" hidden="1" thickBot="1">
      <c r="B41" s="36" t="s">
        <v>874</v>
      </c>
      <c r="C41" s="105" t="s">
        <v>661</v>
      </c>
      <c r="D41" s="95"/>
      <c r="E41" s="260"/>
    </row>
    <row r="42" spans="2:5" s="82" customFormat="1" ht="15" customHeight="1" thickBot="1">
      <c r="B42" s="121" t="s">
        <v>685</v>
      </c>
      <c r="C42" s="245" t="s">
        <v>817</v>
      </c>
      <c r="D42" s="93" t="s">
        <v>801</v>
      </c>
      <c r="E42" s="250">
        <v>31492.25</v>
      </c>
    </row>
    <row r="43" spans="2:5" ht="32.25" hidden="1" thickBot="1">
      <c r="B43" s="70" t="s">
        <v>802</v>
      </c>
      <c r="C43" s="47"/>
      <c r="D43" s="44"/>
      <c r="E43" s="252"/>
    </row>
    <row r="44" spans="2:5" ht="19.5" customHeight="1" thickBot="1">
      <c r="B44" s="122" t="s">
        <v>760</v>
      </c>
      <c r="C44" s="17"/>
      <c r="E44" s="261">
        <f>E56</f>
        <v>254205.38</v>
      </c>
    </row>
    <row r="45" spans="1:5" s="126" customFormat="1" ht="30.75" customHeight="1" thickBot="1">
      <c r="A45" s="1"/>
      <c r="B45" s="150" t="s">
        <v>672</v>
      </c>
      <c r="C45" s="15" t="s">
        <v>920</v>
      </c>
      <c r="D45" s="49" t="s">
        <v>673</v>
      </c>
      <c r="E45" s="176" t="s">
        <v>793</v>
      </c>
    </row>
    <row r="46" spans="2:5" ht="15">
      <c r="B46" s="217" t="s">
        <v>816</v>
      </c>
      <c r="C46" s="255" t="s">
        <v>661</v>
      </c>
      <c r="D46" s="222"/>
      <c r="E46" s="258">
        <v>3684.92</v>
      </c>
    </row>
    <row r="47" spans="2:5" ht="14.25">
      <c r="B47" s="188" t="s">
        <v>928</v>
      </c>
      <c r="C47" s="74" t="s">
        <v>661</v>
      </c>
      <c r="D47" s="153"/>
      <c r="E47" s="177">
        <v>6462.73</v>
      </c>
    </row>
    <row r="48" spans="2:5" ht="14.25">
      <c r="B48" s="151" t="s">
        <v>676</v>
      </c>
      <c r="C48" s="116"/>
      <c r="D48" s="153"/>
      <c r="E48" s="177"/>
    </row>
    <row r="49" spans="2:5" ht="14.25">
      <c r="B49" s="132" t="s">
        <v>883</v>
      </c>
      <c r="C49" s="74" t="s">
        <v>661</v>
      </c>
      <c r="D49" s="153"/>
      <c r="E49" s="179">
        <f>4398.93+54071.64+19665.17</f>
        <v>78135.73999999999</v>
      </c>
    </row>
    <row r="50" spans="2:5" ht="14.25">
      <c r="B50" s="157" t="s">
        <v>880</v>
      </c>
      <c r="C50" s="74" t="s">
        <v>661</v>
      </c>
      <c r="D50" s="153"/>
      <c r="E50" s="259">
        <v>11407.31</v>
      </c>
    </row>
    <row r="51" spans="2:5" ht="14.25">
      <c r="B51" s="157" t="s">
        <v>925</v>
      </c>
      <c r="C51" s="74" t="s">
        <v>661</v>
      </c>
      <c r="D51" s="153"/>
      <c r="E51" s="180">
        <f>144513.73</f>
        <v>144513.73</v>
      </c>
    </row>
    <row r="52" spans="2:5" ht="15">
      <c r="B52" s="151" t="s">
        <v>682</v>
      </c>
      <c r="C52" s="118"/>
      <c r="D52" s="153"/>
      <c r="E52" s="191"/>
    </row>
    <row r="53" spans="2:5" ht="14.25">
      <c r="B53" s="159" t="s">
        <v>998</v>
      </c>
      <c r="C53" s="74" t="s">
        <v>661</v>
      </c>
      <c r="D53" s="153"/>
      <c r="E53" s="192">
        <v>7899.98</v>
      </c>
    </row>
    <row r="54" spans="2:5" ht="14.25">
      <c r="B54" s="159" t="s">
        <v>929</v>
      </c>
      <c r="C54" s="74" t="s">
        <v>661</v>
      </c>
      <c r="D54" s="13"/>
      <c r="E54" s="85">
        <v>2100.97</v>
      </c>
    </row>
    <row r="55" spans="2:5" ht="12.75" hidden="1">
      <c r="B55" s="13"/>
      <c r="C55" s="13"/>
      <c r="D55" s="13"/>
      <c r="E55" s="85"/>
    </row>
    <row r="56" spans="2:5" ht="12.75" hidden="1">
      <c r="B56" s="117" t="s">
        <v>1014</v>
      </c>
      <c r="C56" s="13"/>
      <c r="D56" s="13"/>
      <c r="E56" s="256">
        <f>E46+E47+E49+E50+E51+E53+E54</f>
        <v>254205.38</v>
      </c>
    </row>
    <row r="57" spans="2:5" ht="12.75">
      <c r="B57" s="103"/>
      <c r="C57" s="11"/>
      <c r="D57" s="11"/>
      <c r="E57" s="207"/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1"/>
      <c r="C61" s="11"/>
      <c r="D61" s="11"/>
      <c r="E61" s="207"/>
    </row>
    <row r="62" spans="2:5" ht="15.75">
      <c r="B62" s="6" t="s">
        <v>830</v>
      </c>
      <c r="C62" s="6" t="s">
        <v>889</v>
      </c>
      <c r="E62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0:E20"/>
    <mergeCell ref="B12:C12"/>
    <mergeCell ref="B13:C13"/>
    <mergeCell ref="B14:C14"/>
    <mergeCell ref="B17:C17"/>
    <mergeCell ref="B18:C18"/>
    <mergeCell ref="B19:E19"/>
    <mergeCell ref="B15:C15"/>
    <mergeCell ref="B16:C16"/>
  </mergeCells>
  <printOptions/>
  <pageMargins left="0.31496062992125984" right="0" top="0.984251968503937" bottom="0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3:K90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64.421875" style="1" customWidth="1"/>
    <col min="2" max="2" width="10.140625" style="1" customWidth="1"/>
    <col min="3" max="3" width="11.421875" style="1" customWidth="1"/>
    <col min="4" max="4" width="15.140625" style="1" customWidth="1"/>
    <col min="5" max="5" width="0" style="0" hidden="1" customWidth="1"/>
    <col min="6" max="6" width="11.00390625" style="0" customWidth="1"/>
    <col min="8" max="8" width="9.57421875" style="0" bestFit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550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0">
        <v>225769.33</v>
      </c>
      <c r="D13" s="1371"/>
    </row>
    <row r="14" spans="1:4" ht="15">
      <c r="A14" s="471" t="s">
        <v>538</v>
      </c>
      <c r="B14" s="473"/>
      <c r="C14" s="1316">
        <v>1089290.76</v>
      </c>
      <c r="D14" s="1317"/>
    </row>
    <row r="15" spans="1:4" ht="15">
      <c r="A15" s="470" t="s">
        <v>647</v>
      </c>
      <c r="B15" s="474"/>
      <c r="C15" s="1338">
        <v>1134967.92</v>
      </c>
      <c r="D15" s="1339"/>
    </row>
    <row r="16" spans="1:4" ht="15">
      <c r="A16" s="475" t="s">
        <v>348</v>
      </c>
      <c r="B16" s="476"/>
      <c r="C16" s="1318">
        <f>C13+C14-C15</f>
        <v>180092.17000000016</v>
      </c>
      <c r="D16" s="1319"/>
    </row>
    <row r="17" spans="1:4" ht="14.25">
      <c r="A17" s="470" t="s">
        <v>540</v>
      </c>
      <c r="B17" s="474"/>
      <c r="C17" s="1334">
        <v>790315.22</v>
      </c>
      <c r="D17" s="1335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455"/>
      <c r="C24" s="456"/>
      <c r="D24" s="468"/>
    </row>
    <row r="25" spans="1:4" ht="26.25">
      <c r="A25" s="546" t="s">
        <v>105</v>
      </c>
      <c r="B25" s="637" t="s">
        <v>652</v>
      </c>
      <c r="C25" s="536"/>
      <c r="D25" s="528">
        <v>191063.09</v>
      </c>
    </row>
    <row r="26" spans="1:4" ht="24" customHeight="1">
      <c r="A26" s="492" t="s">
        <v>716</v>
      </c>
      <c r="B26" s="399" t="s">
        <v>661</v>
      </c>
      <c r="C26" s="398"/>
      <c r="D26" s="509">
        <v>1092.49</v>
      </c>
    </row>
    <row r="27" spans="1:4" ht="16.5" customHeight="1">
      <c r="A27" s="492" t="s">
        <v>654</v>
      </c>
      <c r="B27" s="398" t="s">
        <v>656</v>
      </c>
      <c r="C27" s="398" t="s">
        <v>801</v>
      </c>
      <c r="D27" s="509">
        <v>111940.58</v>
      </c>
    </row>
    <row r="28" spans="1:4" ht="24.75">
      <c r="A28" s="389" t="s">
        <v>14</v>
      </c>
      <c r="B28" s="399" t="s">
        <v>657</v>
      </c>
      <c r="C28" s="508"/>
      <c r="D28" s="393">
        <v>139940.22</v>
      </c>
    </row>
    <row r="29" spans="1:4" ht="29.25">
      <c r="A29" s="546" t="s">
        <v>717</v>
      </c>
      <c r="B29" s="625" t="s">
        <v>661</v>
      </c>
      <c r="C29" s="625"/>
      <c r="D29" s="626">
        <v>11193.6</v>
      </c>
    </row>
    <row r="30" spans="1:4" ht="15.75" thickBot="1">
      <c r="A30" s="675" t="s">
        <v>19</v>
      </c>
      <c r="B30" s="511"/>
      <c r="C30" s="405"/>
      <c r="D30" s="512">
        <v>12920.38</v>
      </c>
    </row>
    <row r="31" spans="1:8" ht="15.75" thickBot="1">
      <c r="A31" s="487" t="s">
        <v>914</v>
      </c>
      <c r="B31" s="461"/>
      <c r="C31" s="462"/>
      <c r="D31" s="463">
        <v>468150.36</v>
      </c>
      <c r="F31" s="371"/>
      <c r="H31" s="111"/>
    </row>
    <row r="32" spans="1:4" ht="15">
      <c r="A32" s="513" t="s">
        <v>718</v>
      </c>
      <c r="B32" s="514" t="s">
        <v>920</v>
      </c>
      <c r="C32" s="515" t="s">
        <v>673</v>
      </c>
      <c r="D32" s="516"/>
    </row>
    <row r="33" spans="1:6" ht="15">
      <c r="A33" s="377" t="s">
        <v>724</v>
      </c>
      <c r="B33" s="358"/>
      <c r="C33" s="615"/>
      <c r="D33" s="532">
        <v>18292.63</v>
      </c>
      <c r="F33" s="111"/>
    </row>
    <row r="34" spans="1:6" ht="15">
      <c r="A34" s="383" t="s">
        <v>697</v>
      </c>
      <c r="B34" s="365" t="s">
        <v>478</v>
      </c>
      <c r="C34" s="615">
        <v>1</v>
      </c>
      <c r="D34" s="532">
        <v>5601.98</v>
      </c>
      <c r="F34" s="111"/>
    </row>
    <row r="35" spans="1:6" ht="30" thickBot="1">
      <c r="A35" s="390" t="s">
        <v>726</v>
      </c>
      <c r="B35" s="748" t="s">
        <v>478</v>
      </c>
      <c r="C35" s="674">
        <v>1</v>
      </c>
      <c r="D35" s="459">
        <v>892.7</v>
      </c>
      <c r="F35" s="111"/>
    </row>
    <row r="36" spans="1:7" ht="15.75" thickBot="1">
      <c r="A36" s="806" t="s">
        <v>701</v>
      </c>
      <c r="B36" s="811"/>
      <c r="C36" s="803"/>
      <c r="D36" s="863">
        <v>24787.31</v>
      </c>
      <c r="F36" s="111"/>
      <c r="G36" s="111"/>
    </row>
    <row r="37" spans="1:4" ht="15">
      <c r="A37" s="465" t="s">
        <v>719</v>
      </c>
      <c r="B37" s="800"/>
      <c r="C37" s="441"/>
      <c r="D37" s="441"/>
    </row>
    <row r="38" spans="1:4" ht="15">
      <c r="A38" s="377" t="s">
        <v>727</v>
      </c>
      <c r="B38" s="800"/>
      <c r="C38" s="441">
        <v>4</v>
      </c>
      <c r="D38" s="801">
        <v>3309.01</v>
      </c>
    </row>
    <row r="39" spans="1:6" ht="15">
      <c r="A39" s="359" t="s">
        <v>174</v>
      </c>
      <c r="B39" s="677" t="s">
        <v>478</v>
      </c>
      <c r="C39" s="421">
        <v>5</v>
      </c>
      <c r="D39" s="555">
        <v>7668.13</v>
      </c>
      <c r="F39" s="111"/>
    </row>
    <row r="40" spans="1:11" ht="15">
      <c r="A40" s="359" t="s">
        <v>547</v>
      </c>
      <c r="B40" s="365" t="s">
        <v>478</v>
      </c>
      <c r="C40" s="421">
        <v>2</v>
      </c>
      <c r="D40" s="422">
        <v>819.78</v>
      </c>
      <c r="F40" s="111"/>
      <c r="K40" s="111"/>
    </row>
    <row r="41" spans="1:6" ht="15.75" thickBot="1">
      <c r="A41" s="807" t="s">
        <v>75</v>
      </c>
      <c r="B41" s="758" t="s">
        <v>211</v>
      </c>
      <c r="C41" s="439">
        <v>3</v>
      </c>
      <c r="D41" s="425">
        <v>8452.03</v>
      </c>
      <c r="F41" s="111"/>
    </row>
    <row r="42" spans="1:6" ht="15.75" thickBot="1">
      <c r="A42" s="806" t="s">
        <v>701</v>
      </c>
      <c r="B42" s="811"/>
      <c r="C42" s="803"/>
      <c r="D42" s="841">
        <v>20248.95</v>
      </c>
      <c r="F42" s="111"/>
    </row>
    <row r="43" spans="1:6" ht="15.75" thickBot="1">
      <c r="A43" s="894" t="s">
        <v>720</v>
      </c>
      <c r="B43" s="811"/>
      <c r="C43" s="803"/>
      <c r="D43" s="815"/>
      <c r="F43" s="111"/>
    </row>
    <row r="44" spans="1:6" ht="15">
      <c r="A44" s="799" t="s">
        <v>110</v>
      </c>
      <c r="B44" s="834" t="s">
        <v>111</v>
      </c>
      <c r="C44" s="836">
        <v>1</v>
      </c>
      <c r="D44" s="896">
        <v>339.78</v>
      </c>
      <c r="F44" s="111"/>
    </row>
    <row r="45" spans="1:6" ht="15">
      <c r="A45" s="359" t="s">
        <v>239</v>
      </c>
      <c r="B45" s="365" t="s">
        <v>478</v>
      </c>
      <c r="C45" s="421">
        <v>2</v>
      </c>
      <c r="D45" s="421">
        <v>4605.36</v>
      </c>
      <c r="F45" s="111"/>
    </row>
    <row r="46" spans="1:6" ht="15">
      <c r="A46" s="799" t="s">
        <v>64</v>
      </c>
      <c r="B46" s="834" t="s">
        <v>478</v>
      </c>
      <c r="C46" s="836">
        <v>2</v>
      </c>
      <c r="D46" s="896">
        <v>5652.75</v>
      </c>
      <c r="F46" s="111"/>
    </row>
    <row r="47" spans="1:6" ht="15">
      <c r="A47" s="359" t="s">
        <v>728</v>
      </c>
      <c r="B47" s="365" t="s">
        <v>52</v>
      </c>
      <c r="C47" s="421">
        <v>2</v>
      </c>
      <c r="D47" s="421">
        <v>7880.8</v>
      </c>
      <c r="F47" s="111"/>
    </row>
    <row r="48" spans="1:6" ht="15">
      <c r="A48" s="799" t="s">
        <v>710</v>
      </c>
      <c r="B48" s="834"/>
      <c r="C48" s="836"/>
      <c r="D48" s="441">
        <v>26603</v>
      </c>
      <c r="F48" s="111"/>
    </row>
    <row r="49" spans="1:6" ht="15.75" thickBot="1">
      <c r="A49" s="807" t="s">
        <v>729</v>
      </c>
      <c r="B49" s="758"/>
      <c r="C49" s="439">
        <v>15</v>
      </c>
      <c r="D49" s="424">
        <v>10822.24</v>
      </c>
      <c r="F49" s="111"/>
    </row>
    <row r="50" spans="1:6" ht="15.75" thickBot="1">
      <c r="A50" s="806" t="s">
        <v>701</v>
      </c>
      <c r="B50" s="811"/>
      <c r="C50" s="803"/>
      <c r="D50" s="841">
        <v>55903.93</v>
      </c>
      <c r="F50" s="111"/>
    </row>
    <row r="51" spans="1:6" ht="15.75" thickBot="1">
      <c r="A51" s="894" t="s">
        <v>27</v>
      </c>
      <c r="B51" s="811"/>
      <c r="C51" s="803"/>
      <c r="D51" s="804"/>
      <c r="F51" s="111"/>
    </row>
    <row r="52" spans="1:6" ht="15">
      <c r="A52" s="377" t="s">
        <v>882</v>
      </c>
      <c r="B52" s="570"/>
      <c r="C52" s="441">
        <v>2</v>
      </c>
      <c r="D52" s="896">
        <v>4311.13</v>
      </c>
      <c r="F52" s="111"/>
    </row>
    <row r="53" spans="1:6" ht="15.75" thickBot="1">
      <c r="A53" s="807" t="s">
        <v>64</v>
      </c>
      <c r="B53" s="758" t="s">
        <v>223</v>
      </c>
      <c r="C53" s="439">
        <v>1</v>
      </c>
      <c r="D53" s="424"/>
      <c r="F53" s="111"/>
    </row>
    <row r="54" spans="1:6" ht="15.75" thickBot="1">
      <c r="A54" s="806" t="s">
        <v>701</v>
      </c>
      <c r="B54" s="811"/>
      <c r="C54" s="803">
        <v>1</v>
      </c>
      <c r="D54" s="841">
        <v>4311.13</v>
      </c>
      <c r="E54" s="367" t="e">
        <f>1.03*#REF!*12</f>
        <v>#REF!</v>
      </c>
      <c r="F54" s="111"/>
    </row>
    <row r="55" spans="1:6" ht="15.75" thickBot="1">
      <c r="A55" s="806"/>
      <c r="B55" s="811"/>
      <c r="C55" s="803"/>
      <c r="D55" s="804"/>
      <c r="E55" s="367"/>
      <c r="F55" s="111"/>
    </row>
    <row r="56" spans="1:6" ht="15.75" thickBot="1">
      <c r="A56" s="894" t="s">
        <v>693</v>
      </c>
      <c r="B56" s="811"/>
      <c r="C56" s="898"/>
      <c r="D56" s="815"/>
      <c r="E56" s="897" t="e">
        <f>1.48*#REF!*12</f>
        <v>#REF!</v>
      </c>
      <c r="F56" s="111"/>
    </row>
    <row r="57" spans="1:6" ht="15.75" thickBot="1">
      <c r="A57" s="531" t="s">
        <v>730</v>
      </c>
      <c r="B57" s="910"/>
      <c r="C57" s="911">
        <v>1</v>
      </c>
      <c r="D57" s="912">
        <v>789.75</v>
      </c>
      <c r="E57" s="899"/>
      <c r="F57" s="111"/>
    </row>
    <row r="58" spans="1:6" ht="15.75" thickBot="1">
      <c r="A58" s="901" t="s">
        <v>701</v>
      </c>
      <c r="B58" s="875"/>
      <c r="C58" s="898"/>
      <c r="D58" s="892">
        <v>789.75</v>
      </c>
      <c r="F58" s="111"/>
    </row>
    <row r="59" spans="1:4" ht="15">
      <c r="A59" s="465" t="s">
        <v>721</v>
      </c>
      <c r="B59" s="763"/>
      <c r="C59" s="900"/>
      <c r="D59" s="877"/>
    </row>
    <row r="60" spans="1:4" ht="15">
      <c r="A60" s="359" t="s">
        <v>725</v>
      </c>
      <c r="B60" s="365" t="s">
        <v>40</v>
      </c>
      <c r="C60" s="421">
        <v>1</v>
      </c>
      <c r="D60" s="421">
        <v>2956</v>
      </c>
    </row>
    <row r="61" spans="1:4" ht="15">
      <c r="A61" s="359" t="s">
        <v>886</v>
      </c>
      <c r="B61" s="365" t="s">
        <v>40</v>
      </c>
      <c r="C61" s="421">
        <v>12</v>
      </c>
      <c r="D61" s="421">
        <v>5138.58</v>
      </c>
    </row>
    <row r="62" spans="1:4" ht="15.75" thickBot="1">
      <c r="A62" s="799" t="s">
        <v>692</v>
      </c>
      <c r="B62" s="834" t="s">
        <v>40</v>
      </c>
      <c r="C62" s="846">
        <v>9</v>
      </c>
      <c r="D62" s="836">
        <v>2793.5</v>
      </c>
    </row>
    <row r="63" spans="1:4" ht="15.75" thickBot="1">
      <c r="A63" s="903" t="s">
        <v>701</v>
      </c>
      <c r="B63" s="906"/>
      <c r="C63" s="907"/>
      <c r="D63" s="863">
        <v>10888.08</v>
      </c>
    </row>
    <row r="64" spans="1:4" ht="15.75" thickBot="1">
      <c r="A64" s="913" t="s">
        <v>902</v>
      </c>
      <c r="B64" s="914"/>
      <c r="C64" s="550"/>
      <c r="D64" s="863">
        <v>116929.15</v>
      </c>
    </row>
    <row r="65" spans="1:4" ht="15.75" thickBot="1">
      <c r="A65" s="908" t="s">
        <v>903</v>
      </c>
      <c r="B65" s="909"/>
      <c r="C65" s="907"/>
      <c r="D65" s="863">
        <v>41450.83</v>
      </c>
    </row>
    <row r="66" spans="1:4" ht="15.75" thickBot="1">
      <c r="A66" s="908" t="s">
        <v>722</v>
      </c>
      <c r="B66" s="909"/>
      <c r="C66" s="907"/>
      <c r="D66" s="863">
        <v>17824.89</v>
      </c>
    </row>
    <row r="67" spans="1:4" ht="15.75" thickBot="1">
      <c r="A67" s="908" t="s">
        <v>723</v>
      </c>
      <c r="B67" s="909"/>
      <c r="C67" s="907"/>
      <c r="D67" s="863">
        <v>145959.99</v>
      </c>
    </row>
    <row r="68" spans="1:4" ht="15">
      <c r="A68" s="465"/>
      <c r="B68" s="763"/>
      <c r="C68" s="900"/>
      <c r="D68" s="877"/>
    </row>
    <row r="69" spans="1:4" ht="15.75" thickBot="1">
      <c r="A69" s="902"/>
      <c r="B69" s="904"/>
      <c r="C69" s="846"/>
      <c r="D69" s="905"/>
    </row>
    <row r="70" spans="1:8" ht="15.75" thickBot="1">
      <c r="A70" s="806" t="s">
        <v>36</v>
      </c>
      <c r="B70" s="861"/>
      <c r="C70" s="907"/>
      <c r="D70" s="858">
        <v>790315.22</v>
      </c>
      <c r="F70" s="111"/>
      <c r="H70" s="111"/>
    </row>
    <row r="72" spans="1:4" ht="12.75">
      <c r="A72" s="1353"/>
      <c r="B72" s="1354"/>
      <c r="C72" s="374"/>
      <c r="D72" s="442"/>
    </row>
    <row r="73" spans="1:4" ht="12.75">
      <c r="A73" s="1355"/>
      <c r="B73" s="1356"/>
      <c r="C73" s="559"/>
      <c r="D73" s="559"/>
    </row>
    <row r="74" spans="1:4" ht="15">
      <c r="A74" s="1251" t="s">
        <v>568</v>
      </c>
      <c r="B74" s="1257"/>
      <c r="C74" s="467"/>
      <c r="D74" s="467">
        <v>0</v>
      </c>
    </row>
    <row r="75" spans="1:4" ht="15">
      <c r="A75" s="1332" t="s">
        <v>569</v>
      </c>
      <c r="B75" s="1332"/>
      <c r="C75" s="628"/>
      <c r="D75" s="608">
        <v>1134967.92</v>
      </c>
    </row>
    <row r="76" spans="1:4" ht="15">
      <c r="A76" s="1332" t="s">
        <v>570</v>
      </c>
      <c r="B76" s="1332"/>
      <c r="C76" s="607"/>
      <c r="D76" s="608">
        <v>790315.22</v>
      </c>
    </row>
    <row r="77" spans="1:4" ht="15">
      <c r="A77" s="1333" t="s">
        <v>571</v>
      </c>
      <c r="B77" s="1333"/>
      <c r="C77" s="629"/>
      <c r="D77" s="629">
        <v>-344652.7</v>
      </c>
    </row>
    <row r="78" spans="1:4" ht="15">
      <c r="A78" s="1332" t="s">
        <v>179</v>
      </c>
      <c r="B78" s="1332"/>
      <c r="C78" s="1258"/>
      <c r="D78" s="630">
        <v>-344652.7</v>
      </c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 t="s">
        <v>180</v>
      </c>
      <c r="B83" s="11"/>
      <c r="C83" s="11" t="s">
        <v>573</v>
      </c>
      <c r="D83" s="11"/>
    </row>
    <row r="84" spans="1:4" ht="12.75">
      <c r="A84" s="11"/>
      <c r="B84" s="697"/>
      <c r="C84" s="736"/>
      <c r="D84" s="737"/>
    </row>
    <row r="85" spans="1:4" ht="15.75">
      <c r="A85" s="1315"/>
      <c r="B85" s="1315"/>
      <c r="C85" s="1315"/>
      <c r="D85" s="1315"/>
    </row>
    <row r="86" spans="1:4" ht="15.75">
      <c r="A86" s="1315"/>
      <c r="B86" s="1315"/>
      <c r="C86" s="1315"/>
      <c r="D86" s="1315"/>
    </row>
    <row r="87" spans="1:4" ht="12.75">
      <c r="A87" s="735" t="s">
        <v>357</v>
      </c>
      <c r="B87" s="103"/>
      <c r="C87" s="103"/>
      <c r="D87" s="103"/>
    </row>
    <row r="88" spans="1:4" ht="12.75">
      <c r="A88" s="735" t="s">
        <v>906</v>
      </c>
      <c r="B88" s="738"/>
      <c r="C88" s="670"/>
      <c r="D88" s="739"/>
    </row>
    <row r="89" spans="1:4" ht="10.5" customHeight="1">
      <c r="A89" s="735" t="s">
        <v>358</v>
      </c>
      <c r="B89" s="702"/>
      <c r="C89" s="144"/>
      <c r="D89" s="740"/>
    </row>
    <row r="90" spans="1:4" ht="15" hidden="1">
      <c r="A90" s="741"/>
      <c r="B90" s="704"/>
      <c r="C90" s="395"/>
      <c r="D90" s="706"/>
    </row>
  </sheetData>
  <sheetProtection/>
  <mergeCells count="21">
    <mergeCell ref="A78:B78"/>
    <mergeCell ref="A85:D85"/>
    <mergeCell ref="A86:D86"/>
    <mergeCell ref="C13:D13"/>
    <mergeCell ref="C14:D14"/>
    <mergeCell ref="C15:D15"/>
    <mergeCell ref="C16:D16"/>
    <mergeCell ref="A72:B73"/>
    <mergeCell ref="A75:B75"/>
    <mergeCell ref="A76:B76"/>
    <mergeCell ref="A77:B77"/>
    <mergeCell ref="A9:B9"/>
    <mergeCell ref="A11:B12"/>
    <mergeCell ref="A20:D20"/>
    <mergeCell ref="A21:D21"/>
    <mergeCell ref="C11:D12"/>
    <mergeCell ref="C17:D17"/>
    <mergeCell ref="A4:B4"/>
    <mergeCell ref="A5:B5"/>
    <mergeCell ref="A6:B6"/>
    <mergeCell ref="A7:B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99CC"/>
  </sheetPr>
  <dimension ref="A1:D85"/>
  <sheetViews>
    <sheetView zoomScalePageLayoutView="0" workbookViewId="0" topLeftCell="A13">
      <selection activeCell="A15" sqref="A15:B15"/>
    </sheetView>
  </sheetViews>
  <sheetFormatPr defaultColWidth="9.140625" defaultRowHeight="12.75"/>
  <cols>
    <col min="1" max="1" width="64.421875" style="1" customWidth="1"/>
    <col min="2" max="2" width="9.7109375" style="1" customWidth="1"/>
    <col min="3" max="3" width="13.57421875" style="1" customWidth="1"/>
    <col min="4" max="4" width="15.140625" style="1" customWidth="1"/>
    <col min="5" max="5" width="10.57421875" style="0" hidden="1" customWidth="1"/>
    <col min="6" max="6" width="0" style="0" hidden="1" customWidth="1"/>
    <col min="8" max="8" width="10.28125" style="0" customWidth="1"/>
  </cols>
  <sheetData>
    <row r="1" spans="1:4" ht="14.25" hidden="1">
      <c r="A1" s="307" t="s">
        <v>297</v>
      </c>
      <c r="B1" s="298" t="s">
        <v>40</v>
      </c>
      <c r="C1" s="299">
        <v>13</v>
      </c>
      <c r="D1" s="302">
        <v>0</v>
      </c>
    </row>
    <row r="2" spans="1:4" ht="14.25" hidden="1">
      <c r="A2" s="307" t="s">
        <v>113</v>
      </c>
      <c r="B2" s="298" t="s">
        <v>40</v>
      </c>
      <c r="C2" s="299">
        <v>1</v>
      </c>
      <c r="D2" s="302">
        <v>0</v>
      </c>
    </row>
    <row r="3" spans="1:4" ht="14.25" hidden="1">
      <c r="A3" s="307" t="s">
        <v>294</v>
      </c>
      <c r="B3" s="298" t="s">
        <v>295</v>
      </c>
      <c r="C3" s="299">
        <v>1</v>
      </c>
      <c r="D3" s="302">
        <v>0</v>
      </c>
    </row>
    <row r="4" spans="1:4" ht="14.25" hidden="1">
      <c r="A4" s="307" t="s">
        <v>232</v>
      </c>
      <c r="B4" s="298" t="s">
        <v>40</v>
      </c>
      <c r="C4" s="299">
        <v>1</v>
      </c>
      <c r="D4" s="302">
        <v>0</v>
      </c>
    </row>
    <row r="5" spans="1:4" ht="14.25" hidden="1">
      <c r="A5" s="307" t="s">
        <v>320</v>
      </c>
      <c r="B5" s="298" t="s">
        <v>52</v>
      </c>
      <c r="C5" s="299">
        <v>1</v>
      </c>
      <c r="D5" s="302">
        <v>0</v>
      </c>
    </row>
    <row r="6" spans="1:4" ht="14.25" hidden="1">
      <c r="A6" s="307" t="s">
        <v>321</v>
      </c>
      <c r="B6" s="298" t="s">
        <v>52</v>
      </c>
      <c r="C6" s="299">
        <v>22</v>
      </c>
      <c r="D6" s="302">
        <v>0</v>
      </c>
    </row>
    <row r="7" spans="1:4" ht="14.25" hidden="1">
      <c r="A7" s="307" t="s">
        <v>319</v>
      </c>
      <c r="B7" s="298" t="s">
        <v>52</v>
      </c>
      <c r="C7" s="299">
        <v>2</v>
      </c>
      <c r="D7" s="302">
        <v>0</v>
      </c>
    </row>
    <row r="8" spans="1:4" ht="14.25" hidden="1">
      <c r="A8" s="307" t="s">
        <v>888</v>
      </c>
      <c r="B8" s="298"/>
      <c r="C8" s="299">
        <v>4</v>
      </c>
      <c r="D8" s="302">
        <v>0</v>
      </c>
    </row>
    <row r="9" spans="1:4" ht="14.25" hidden="1">
      <c r="A9" s="307" t="s">
        <v>54</v>
      </c>
      <c r="B9" s="298" t="s">
        <v>885</v>
      </c>
      <c r="C9" s="318">
        <v>1</v>
      </c>
      <c r="D9" s="302">
        <v>0</v>
      </c>
    </row>
    <row r="12" spans="3:4" ht="12.75">
      <c r="C12" s="1364" t="s">
        <v>792</v>
      </c>
      <c r="D12" s="1364"/>
    </row>
    <row r="13" spans="1:4" ht="22.5">
      <c r="A13" s="1331" t="s">
        <v>687</v>
      </c>
      <c r="B13" s="1331"/>
      <c r="C13" s="140"/>
      <c r="D13" s="140"/>
    </row>
    <row r="14" spans="1:4" ht="15.75">
      <c r="A14" s="1363" t="s">
        <v>497</v>
      </c>
      <c r="B14" s="1363"/>
      <c r="C14" s="91"/>
      <c r="D14" s="91"/>
    </row>
    <row r="15" spans="1:4" ht="15.75">
      <c r="A15" s="1363" t="s">
        <v>641</v>
      </c>
      <c r="B15" s="1363"/>
      <c r="C15" s="91"/>
      <c r="D15" s="91"/>
    </row>
    <row r="16" spans="1:4" ht="15.75">
      <c r="A16" s="1363" t="s">
        <v>804</v>
      </c>
      <c r="B16" s="1363"/>
      <c r="C16" s="91"/>
      <c r="D16" s="91"/>
    </row>
    <row r="17" spans="1:3" ht="18.75">
      <c r="A17" s="26"/>
      <c r="B17" s="26"/>
      <c r="C17"/>
    </row>
    <row r="18" spans="1:4" ht="15">
      <c r="A18" s="1343" t="s">
        <v>341</v>
      </c>
      <c r="B18" s="1343"/>
      <c r="C18" s="139"/>
      <c r="D18" s="139"/>
    </row>
    <row r="19" spans="1:4" ht="15">
      <c r="A19" s="324"/>
      <c r="B19" s="324"/>
      <c r="C19" s="139"/>
      <c r="D19" s="139"/>
    </row>
    <row r="20" spans="1:4" ht="12.75" customHeight="1">
      <c r="A20" s="1366" t="s">
        <v>642</v>
      </c>
      <c r="B20" s="1367"/>
      <c r="C20" s="1366" t="s">
        <v>488</v>
      </c>
      <c r="D20" s="1367"/>
    </row>
    <row r="21" spans="1:4" ht="12.75">
      <c r="A21" s="1368"/>
      <c r="B21" s="1369"/>
      <c r="C21" s="1368"/>
      <c r="D21" s="1369"/>
    </row>
    <row r="22" spans="1:4" ht="15">
      <c r="A22" s="372" t="s">
        <v>347</v>
      </c>
      <c r="B22" s="472"/>
      <c r="C22" s="1308">
        <v>148123.94</v>
      </c>
      <c r="D22" s="1309"/>
    </row>
    <row r="23" spans="1:4" ht="14.25">
      <c r="A23" s="471" t="s">
        <v>486</v>
      </c>
      <c r="B23" s="473"/>
      <c r="C23" s="1310">
        <v>858811.57</v>
      </c>
      <c r="D23" s="1311"/>
    </row>
    <row r="24" spans="1:4" ht="14.25">
      <c r="A24" s="470" t="s">
        <v>647</v>
      </c>
      <c r="B24" s="474"/>
      <c r="C24" s="1312">
        <v>896272.13</v>
      </c>
      <c r="D24" s="1313"/>
    </row>
    <row r="25" spans="1:4" ht="15">
      <c r="A25" s="475" t="s">
        <v>348</v>
      </c>
      <c r="B25" s="476"/>
      <c r="C25" s="1314">
        <f>C22+C23-C24</f>
        <v>110663.38</v>
      </c>
      <c r="D25" s="1372"/>
    </row>
    <row r="26" spans="1:4" ht="14.25">
      <c r="A26" s="470" t="s">
        <v>37</v>
      </c>
      <c r="B26" s="527"/>
      <c r="C26" s="1373">
        <v>768000.41</v>
      </c>
      <c r="D26" s="1374"/>
    </row>
    <row r="27" spans="2:4" ht="12.75">
      <c r="B27" s="83"/>
      <c r="C27" s="81"/>
      <c r="D27" s="314"/>
    </row>
    <row r="28" spans="1:4" ht="15.75">
      <c r="A28" s="1340" t="s">
        <v>650</v>
      </c>
      <c r="B28" s="1340"/>
      <c r="C28" s="1340"/>
      <c r="D28" s="1340"/>
    </row>
    <row r="29" spans="1:4" ht="15.75">
      <c r="A29" s="1340" t="s">
        <v>346</v>
      </c>
      <c r="B29" s="1340"/>
      <c r="C29" s="1340"/>
      <c r="D29" s="1340"/>
    </row>
    <row r="30" spans="1:4" ht="12.75">
      <c r="A30" s="82"/>
      <c r="B30" s="82"/>
      <c r="C30" s="103"/>
      <c r="D30" s="82"/>
    </row>
    <row r="31" spans="1:4" ht="26.25" thickBot="1">
      <c r="A31" s="660" t="s">
        <v>477</v>
      </c>
      <c r="B31" s="482" t="s">
        <v>667</v>
      </c>
      <c r="C31" s="409" t="s">
        <v>673</v>
      </c>
      <c r="D31" s="453" t="s">
        <v>793</v>
      </c>
    </row>
    <row r="32" spans="1:4" ht="16.5" thickBot="1">
      <c r="A32" s="477" t="s">
        <v>913</v>
      </c>
      <c r="B32" s="483"/>
      <c r="C32" s="456"/>
      <c r="D32" s="664"/>
    </row>
    <row r="33" spans="1:4" ht="26.25">
      <c r="A33" s="546" t="s">
        <v>105</v>
      </c>
      <c r="B33" s="394" t="s">
        <v>652</v>
      </c>
      <c r="C33" s="395"/>
      <c r="D33" s="396">
        <v>188723.37</v>
      </c>
    </row>
    <row r="34" spans="1:4" ht="15">
      <c r="A34" s="492" t="s">
        <v>654</v>
      </c>
      <c r="B34" s="398" t="s">
        <v>656</v>
      </c>
      <c r="C34" s="392" t="s">
        <v>801</v>
      </c>
      <c r="D34" s="393">
        <v>110569.77</v>
      </c>
    </row>
    <row r="35" spans="1:4" ht="24.75">
      <c r="A35" s="492" t="s">
        <v>14</v>
      </c>
      <c r="B35" s="399" t="s">
        <v>657</v>
      </c>
      <c r="C35" s="508"/>
      <c r="D35" s="393">
        <v>138226.54</v>
      </c>
    </row>
    <row r="36" spans="1:4" ht="15">
      <c r="A36" s="492" t="s">
        <v>799</v>
      </c>
      <c r="B36" s="399" t="s">
        <v>661</v>
      </c>
      <c r="C36" s="508"/>
      <c r="D36" s="393">
        <v>6783.2</v>
      </c>
    </row>
    <row r="37" spans="1:4" ht="30" thickBot="1">
      <c r="A37" s="390" t="s">
        <v>395</v>
      </c>
      <c r="B37" s="399" t="s">
        <v>661</v>
      </c>
      <c r="C37" s="508"/>
      <c r="D37" s="393">
        <v>15048.89</v>
      </c>
    </row>
    <row r="38" spans="1:4" ht="15.75" thickBot="1">
      <c r="A38" s="805" t="s">
        <v>701</v>
      </c>
      <c r="B38" s="1290"/>
      <c r="C38" s="1291"/>
      <c r="D38" s="1292">
        <v>459351.77</v>
      </c>
    </row>
    <row r="39" spans="1:4" ht="15.75" thickBot="1">
      <c r="A39" s="487" t="s">
        <v>914</v>
      </c>
      <c r="B39" s="461"/>
      <c r="C39" s="462"/>
      <c r="D39" s="463"/>
    </row>
    <row r="40" spans="1:4" ht="24">
      <c r="A40" s="943" t="s">
        <v>194</v>
      </c>
      <c r="B40" s="433" t="s">
        <v>920</v>
      </c>
      <c r="C40" s="443" t="s">
        <v>673</v>
      </c>
      <c r="D40" s="444" t="s">
        <v>793</v>
      </c>
    </row>
    <row r="41" spans="1:4" ht="15">
      <c r="A41" s="359" t="s">
        <v>953</v>
      </c>
      <c r="B41" s="544"/>
      <c r="C41" s="421">
        <v>1</v>
      </c>
      <c r="D41" s="623">
        <v>16528.83</v>
      </c>
    </row>
    <row r="42" spans="1:4" ht="15">
      <c r="A42" s="547" t="s">
        <v>11</v>
      </c>
      <c r="B42" s="365"/>
      <c r="C42" s="359"/>
      <c r="D42" s="687">
        <v>18442.63</v>
      </c>
    </row>
    <row r="43" spans="1:4" ht="15.75" thickBot="1">
      <c r="A43" s="1016" t="s">
        <v>109</v>
      </c>
      <c r="B43" s="758" t="s">
        <v>478</v>
      </c>
      <c r="C43" s="836">
        <v>1</v>
      </c>
      <c r="D43" s="1158">
        <v>934.43</v>
      </c>
    </row>
    <row r="44" spans="1:4" ht="15.75" thickBot="1">
      <c r="A44" s="806" t="s">
        <v>701</v>
      </c>
      <c r="B44" s="811"/>
      <c r="C44" s="462"/>
      <c r="D44" s="858">
        <v>35905.89</v>
      </c>
    </row>
    <row r="45" spans="1:4" ht="15">
      <c r="A45" s="513" t="s">
        <v>445</v>
      </c>
      <c r="B45" s="824"/>
      <c r="C45" s="652"/>
      <c r="D45" s="441"/>
    </row>
    <row r="46" spans="1:4" ht="15.75">
      <c r="A46" s="554" t="s">
        <v>972</v>
      </c>
      <c r="B46" s="365"/>
      <c r="C46" s="615">
        <v>1</v>
      </c>
      <c r="D46" s="532">
        <v>26603</v>
      </c>
    </row>
    <row r="47" spans="1:4" ht="16.5" thickBot="1">
      <c r="A47" s="833" t="s">
        <v>9</v>
      </c>
      <c r="B47" s="758" t="s">
        <v>478</v>
      </c>
      <c r="C47" s="616">
        <v>3</v>
      </c>
      <c r="D47" s="541">
        <v>3486.54</v>
      </c>
    </row>
    <row r="48" spans="1:4" ht="16.5" thickBot="1">
      <c r="A48" s="829" t="s">
        <v>701</v>
      </c>
      <c r="B48" s="811"/>
      <c r="C48" s="550"/>
      <c r="D48" s="863">
        <v>30089.54</v>
      </c>
    </row>
    <row r="49" spans="1:4" ht="15">
      <c r="A49" s="808" t="s">
        <v>780</v>
      </c>
      <c r="B49" s="570"/>
      <c r="C49" s="652"/>
      <c r="D49" s="835"/>
    </row>
    <row r="50" spans="1:4" ht="15">
      <c r="A50" s="359" t="s">
        <v>75</v>
      </c>
      <c r="B50" s="365" t="s">
        <v>211</v>
      </c>
      <c r="C50" s="615">
        <v>4</v>
      </c>
      <c r="D50" s="532">
        <v>10987.17</v>
      </c>
    </row>
    <row r="51" spans="1:4" ht="15">
      <c r="A51" s="359" t="s">
        <v>174</v>
      </c>
      <c r="B51" s="365" t="s">
        <v>478</v>
      </c>
      <c r="C51" s="615">
        <v>4</v>
      </c>
      <c r="D51" s="532">
        <v>5331.55</v>
      </c>
    </row>
    <row r="52" spans="1:4" ht="15.75" thickBot="1">
      <c r="A52" s="807" t="s">
        <v>582</v>
      </c>
      <c r="B52" s="758" t="s">
        <v>478</v>
      </c>
      <c r="C52" s="807">
        <v>8</v>
      </c>
      <c r="D52" s="541">
        <v>6257.2</v>
      </c>
    </row>
    <row r="53" spans="1:4" ht="15.75" thickBot="1">
      <c r="A53" s="806" t="s">
        <v>701</v>
      </c>
      <c r="B53" s="811"/>
      <c r="C53" s="550"/>
      <c r="D53" s="858">
        <v>22575.92</v>
      </c>
    </row>
    <row r="54" spans="1:4" ht="15.75">
      <c r="A54" s="876" t="s">
        <v>361</v>
      </c>
      <c r="B54" s="570"/>
      <c r="C54" s="652"/>
      <c r="D54" s="598"/>
    </row>
    <row r="55" spans="1:4" ht="15">
      <c r="A55" s="389" t="s">
        <v>479</v>
      </c>
      <c r="B55" s="746" t="s">
        <v>52</v>
      </c>
      <c r="C55" s="400">
        <v>2</v>
      </c>
      <c r="D55" s="393">
        <v>6947.33</v>
      </c>
    </row>
    <row r="56" spans="1:4" ht="15">
      <c r="A56" s="359" t="s">
        <v>212</v>
      </c>
      <c r="B56" s="365" t="s">
        <v>81</v>
      </c>
      <c r="C56" s="615">
        <v>2</v>
      </c>
      <c r="D56" s="541">
        <v>1585.43</v>
      </c>
    </row>
    <row r="57" spans="1:4" ht="15.75" thickBot="1">
      <c r="A57" s="807" t="s">
        <v>583</v>
      </c>
      <c r="B57" s="758"/>
      <c r="C57" s="616">
        <v>6</v>
      </c>
      <c r="D57" s="541">
        <v>6406.87</v>
      </c>
    </row>
    <row r="58" spans="1:4" ht="15.75" thickBot="1">
      <c r="A58" s="806" t="s">
        <v>701</v>
      </c>
      <c r="B58" s="811"/>
      <c r="C58" s="550"/>
      <c r="D58" s="858">
        <v>14939.63</v>
      </c>
    </row>
    <row r="59" spans="1:4" ht="15">
      <c r="A59" s="808" t="s">
        <v>781</v>
      </c>
      <c r="B59" s="570"/>
      <c r="C59" s="652"/>
      <c r="D59" s="598"/>
    </row>
    <row r="60" spans="1:4" ht="15">
      <c r="A60" s="377" t="s">
        <v>584</v>
      </c>
      <c r="B60" s="365"/>
      <c r="C60" s="421">
        <v>7</v>
      </c>
      <c r="D60" s="532">
        <v>4767.69</v>
      </c>
    </row>
    <row r="61" spans="1:4" ht="15">
      <c r="A61" s="377" t="s">
        <v>585</v>
      </c>
      <c r="B61" s="365" t="s">
        <v>52</v>
      </c>
      <c r="C61" s="421">
        <v>1</v>
      </c>
      <c r="D61" s="532">
        <v>165.11</v>
      </c>
    </row>
    <row r="62" spans="1:4" ht="15.75" thickBot="1">
      <c r="A62" s="807" t="s">
        <v>886</v>
      </c>
      <c r="B62" s="758" t="s">
        <v>478</v>
      </c>
      <c r="C62" s="1014">
        <v>3</v>
      </c>
      <c r="D62" s="424">
        <v>1486.94</v>
      </c>
    </row>
    <row r="63" spans="1:4" ht="15.75" thickBot="1">
      <c r="A63" s="806" t="s">
        <v>701</v>
      </c>
      <c r="B63" s="811"/>
      <c r="C63" s="1070"/>
      <c r="D63" s="858">
        <v>6419.74</v>
      </c>
    </row>
    <row r="64" spans="1:4" ht="16.5" thickBot="1">
      <c r="A64" s="829" t="s">
        <v>375</v>
      </c>
      <c r="B64" s="811"/>
      <c r="C64" s="550"/>
      <c r="D64" s="863">
        <v>109930.72</v>
      </c>
    </row>
    <row r="65" spans="1:4" ht="15">
      <c r="A65" s="383"/>
      <c r="B65" s="570"/>
      <c r="C65" s="652"/>
      <c r="D65" s="836"/>
    </row>
    <row r="66" spans="1:4" ht="15.75">
      <c r="A66" s="1157" t="s">
        <v>743</v>
      </c>
      <c r="B66" s="365"/>
      <c r="C66" s="431"/>
      <c r="D66" s="891">
        <v>40973.23</v>
      </c>
    </row>
    <row r="67" spans="1:4" ht="15">
      <c r="A67" s="943" t="s">
        <v>581</v>
      </c>
      <c r="B67" s="757"/>
      <c r="C67" s="615"/>
      <c r="D67" s="428">
        <v>15905.93</v>
      </c>
    </row>
    <row r="68" spans="1:4" ht="15">
      <c r="A68" s="955" t="s">
        <v>735</v>
      </c>
      <c r="B68" s="365"/>
      <c r="C68" s="679"/>
      <c r="D68" s="869">
        <v>141838.76</v>
      </c>
    </row>
    <row r="69" spans="1:4" ht="15.75" thickBot="1">
      <c r="A69" s="574"/>
      <c r="B69" s="758"/>
      <c r="C69" s="616"/>
      <c r="D69" s="541"/>
    </row>
    <row r="70" spans="1:4" ht="15.75" thickBot="1">
      <c r="A70" s="806" t="s">
        <v>36</v>
      </c>
      <c r="B70" s="811"/>
      <c r="C70" s="550"/>
      <c r="D70" s="858">
        <v>768000.41</v>
      </c>
    </row>
    <row r="71" spans="1:4" ht="15">
      <c r="A71" s="196"/>
      <c r="B71" s="196"/>
      <c r="C71" s="196"/>
      <c r="D71" s="197"/>
    </row>
    <row r="72" spans="1:4" ht="14.25">
      <c r="A72" s="764"/>
      <c r="B72" s="358"/>
      <c r="C72" s="359"/>
      <c r="D72" s="1262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332" t="s">
        <v>569</v>
      </c>
      <c r="B74" s="1332"/>
      <c r="C74" s="628"/>
      <c r="D74" s="608">
        <v>896272.13</v>
      </c>
    </row>
    <row r="75" spans="1:4" ht="15">
      <c r="A75" s="1332" t="s">
        <v>570</v>
      </c>
      <c r="B75" s="1332"/>
      <c r="C75" s="607"/>
      <c r="D75" s="608">
        <v>768000.41</v>
      </c>
    </row>
    <row r="76" spans="1:4" ht="15">
      <c r="A76" s="1333" t="s">
        <v>571</v>
      </c>
      <c r="B76" s="1333"/>
      <c r="C76" s="629"/>
      <c r="D76" s="629">
        <v>-128271.72</v>
      </c>
    </row>
    <row r="77" spans="1:4" ht="15">
      <c r="A77" s="1332" t="s">
        <v>179</v>
      </c>
      <c r="B77" s="1332"/>
      <c r="C77" s="1258"/>
      <c r="D77" s="630">
        <v>-128271.72</v>
      </c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5">
      <c r="A82" s="538"/>
      <c r="B82" s="538"/>
      <c r="C82" s="1259"/>
      <c r="D82" s="1260"/>
    </row>
    <row r="83" ht="12.75">
      <c r="A83" s="735" t="s">
        <v>357</v>
      </c>
    </row>
    <row r="84" ht="12.75">
      <c r="A84" s="735" t="s">
        <v>906</v>
      </c>
    </row>
    <row r="85" ht="12.75">
      <c r="A85" s="735" t="s">
        <v>358</v>
      </c>
    </row>
  </sheetData>
  <sheetProtection/>
  <mergeCells count="19">
    <mergeCell ref="A16:B16"/>
    <mergeCell ref="A18:B18"/>
    <mergeCell ref="C12:D12"/>
    <mergeCell ref="A13:B13"/>
    <mergeCell ref="A14:B14"/>
    <mergeCell ref="A15:B15"/>
    <mergeCell ref="A29:D29"/>
    <mergeCell ref="C22:D22"/>
    <mergeCell ref="C23:D23"/>
    <mergeCell ref="C24:D24"/>
    <mergeCell ref="C25:D25"/>
    <mergeCell ref="A20:B21"/>
    <mergeCell ref="C20:D21"/>
    <mergeCell ref="C26:D26"/>
    <mergeCell ref="A28:D28"/>
    <mergeCell ref="A74:B74"/>
    <mergeCell ref="A75:B75"/>
    <mergeCell ref="A76:B76"/>
    <mergeCell ref="A77:B7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7">
      <selection activeCell="C48" sqref="C48:C49"/>
    </sheetView>
  </sheetViews>
  <sheetFormatPr defaultColWidth="9.140625" defaultRowHeight="12.75"/>
  <cols>
    <col min="1" max="1" width="0.85546875" style="1" customWidth="1"/>
    <col min="2" max="2" width="59.7109375" style="1" customWidth="1"/>
    <col min="3" max="3" width="11.57421875" style="1" customWidth="1"/>
    <col min="4" max="4" width="15.7109375" style="1" customWidth="1"/>
    <col min="5" max="5" width="14.8515625" style="1" customWidth="1"/>
    <col min="6" max="6" width="18.14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837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99538.11+710.3</f>
        <v>100248.41</v>
      </c>
      <c r="E11" s="25">
        <v>21163.7</v>
      </c>
    </row>
    <row r="12" spans="2:5" ht="16.5" thickBot="1">
      <c r="B12" s="1398" t="s">
        <v>646</v>
      </c>
      <c r="C12" s="1399"/>
      <c r="D12" s="89">
        <f>1015934.15+4723.16</f>
        <v>1020657.31</v>
      </c>
      <c r="E12" s="5">
        <v>52933.05</v>
      </c>
    </row>
    <row r="13" spans="2:5" ht="16.5" thickBot="1">
      <c r="B13" s="1398" t="s">
        <v>647</v>
      </c>
      <c r="C13" s="1399"/>
      <c r="D13" s="5">
        <f>996724.06+5372.88</f>
        <v>1002096.9400000001</v>
      </c>
      <c r="E13" s="5">
        <v>74149.54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98" t="s">
        <v>648</v>
      </c>
      <c r="C15" s="1399"/>
      <c r="D15" s="5">
        <f>D11+D12-D13</f>
        <v>118808.77999999991</v>
      </c>
      <c r="E15" s="5">
        <f>E11+E12-E13</f>
        <v>-52.7899999999936</v>
      </c>
    </row>
    <row r="16" spans="2:5" ht="16.5" thickBot="1">
      <c r="B16" s="1398" t="s">
        <v>806</v>
      </c>
      <c r="C16" s="1399"/>
      <c r="D16" s="131">
        <f>E22+E45</f>
        <v>1094102.7399999998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32.25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E23+E29+E31+E32+E33+E43</f>
        <v>691921.5099999999</v>
      </c>
    </row>
    <row r="23" spans="1:5" ht="32.25" thickBot="1">
      <c r="A23" s="11"/>
      <c r="B23" s="67" t="s">
        <v>662</v>
      </c>
      <c r="C23" s="64" t="s">
        <v>652</v>
      </c>
      <c r="D23" s="43"/>
      <c r="E23" s="230">
        <v>368752.88</v>
      </c>
    </row>
    <row r="24" spans="2:5" ht="32.25" hidden="1" thickBot="1">
      <c r="B24" s="67" t="s">
        <v>686</v>
      </c>
      <c r="C24" s="65" t="s">
        <v>661</v>
      </c>
      <c r="D24" s="44"/>
      <c r="E24" s="174"/>
    </row>
    <row r="25" spans="2:5" ht="16.5" hidden="1" thickBot="1">
      <c r="B25" s="67" t="s">
        <v>765</v>
      </c>
      <c r="C25" s="65" t="s">
        <v>661</v>
      </c>
      <c r="D25" s="44"/>
      <c r="E25" s="174"/>
    </row>
    <row r="26" spans="2:5" ht="39.75" hidden="1" thickBot="1">
      <c r="B26" s="67" t="s">
        <v>655</v>
      </c>
      <c r="C26" s="64" t="s">
        <v>653</v>
      </c>
      <c r="D26" s="45"/>
      <c r="E26" s="237"/>
    </row>
    <row r="27" spans="2:5" ht="48" hidden="1" thickBot="1">
      <c r="B27" s="67" t="s">
        <v>796</v>
      </c>
      <c r="C27" s="65" t="s">
        <v>661</v>
      </c>
      <c r="D27" s="44"/>
      <c r="E27" s="174"/>
    </row>
    <row r="28" spans="2:5" ht="48" hidden="1" thickBot="1">
      <c r="B28" s="67" t="s">
        <v>797</v>
      </c>
      <c r="C28" s="65" t="s">
        <v>661</v>
      </c>
      <c r="D28" s="44"/>
      <c r="E28" s="174"/>
    </row>
    <row r="29" spans="2:5" ht="16.5" thickBot="1">
      <c r="B29" s="67" t="s">
        <v>654</v>
      </c>
      <c r="C29" s="48" t="s">
        <v>656</v>
      </c>
      <c r="D29" s="43" t="s">
        <v>801</v>
      </c>
      <c r="E29" s="230">
        <v>156922.88</v>
      </c>
    </row>
    <row r="30" spans="2:5" ht="32.25" hidden="1" thickBot="1">
      <c r="B30" s="67" t="s">
        <v>798</v>
      </c>
      <c r="C30" s="65" t="s">
        <v>661</v>
      </c>
      <c r="D30" s="47" t="s">
        <v>822</v>
      </c>
      <c r="E30" s="174"/>
    </row>
    <row r="31" spans="2:5" ht="27" thickBot="1">
      <c r="B31" s="67" t="s">
        <v>658</v>
      </c>
      <c r="C31" s="64" t="s">
        <v>657</v>
      </c>
      <c r="D31" s="43"/>
      <c r="E31" s="230">
        <v>129446.94</v>
      </c>
    </row>
    <row r="32" spans="2:5" ht="16.5" thickBot="1">
      <c r="B32" s="67" t="s">
        <v>931</v>
      </c>
      <c r="C32" s="64" t="s">
        <v>661</v>
      </c>
      <c r="D32" s="43"/>
      <c r="E32" s="230">
        <v>4192.33</v>
      </c>
    </row>
    <row r="33" spans="2:5" ht="16.5" thickBot="1">
      <c r="B33" s="67" t="s">
        <v>879</v>
      </c>
      <c r="C33" s="64" t="s">
        <v>661</v>
      </c>
      <c r="D33" s="43"/>
      <c r="E33" s="230">
        <v>824.57</v>
      </c>
    </row>
    <row r="34" spans="2:5" ht="32.25" hidden="1" thickBot="1">
      <c r="B34" s="68" t="s">
        <v>758</v>
      </c>
      <c r="C34" s="64" t="s">
        <v>665</v>
      </c>
      <c r="D34" s="43"/>
      <c r="E34" s="238"/>
    </row>
    <row r="35" spans="2:5" ht="32.25" hidden="1" thickBot="1">
      <c r="B35" s="67" t="s">
        <v>664</v>
      </c>
      <c r="C35" s="65" t="s">
        <v>661</v>
      </c>
      <c r="D35" s="44"/>
      <c r="E35" s="174"/>
    </row>
    <row r="36" spans="2:5" ht="32.25" hidden="1" thickBot="1">
      <c r="B36" s="67" t="s">
        <v>671</v>
      </c>
      <c r="C36" s="65" t="s">
        <v>661</v>
      </c>
      <c r="D36" s="72"/>
      <c r="E36" s="239"/>
    </row>
    <row r="37" spans="2:5" ht="94.5" hidden="1" thickBot="1">
      <c r="B37" s="36" t="s">
        <v>790</v>
      </c>
      <c r="C37" s="65" t="s">
        <v>661</v>
      </c>
      <c r="D37" s="44"/>
      <c r="E37" s="174"/>
    </row>
    <row r="38" spans="2:5" ht="63.75" hidden="1" thickBot="1">
      <c r="B38" s="67" t="s">
        <v>767</v>
      </c>
      <c r="C38" s="64" t="s">
        <v>766</v>
      </c>
      <c r="D38" s="43"/>
      <c r="E38" s="238"/>
    </row>
    <row r="39" spans="2:5" ht="32.25" hidden="1" thickBot="1">
      <c r="B39" s="67" t="s">
        <v>668</v>
      </c>
      <c r="C39" s="65" t="s">
        <v>661</v>
      </c>
      <c r="D39" s="44"/>
      <c r="E39" s="174"/>
    </row>
    <row r="40" spans="2:5" ht="16.5" hidden="1" thickBot="1">
      <c r="B40" s="67" t="s">
        <v>799</v>
      </c>
      <c r="C40" s="65" t="s">
        <v>661</v>
      </c>
      <c r="D40" s="44"/>
      <c r="E40" s="174"/>
    </row>
    <row r="41" spans="2:5" ht="52.5" hidden="1" thickBot="1">
      <c r="B41" s="67" t="s">
        <v>670</v>
      </c>
      <c r="C41" s="64" t="s">
        <v>684</v>
      </c>
      <c r="D41" s="46"/>
      <c r="E41" s="240"/>
    </row>
    <row r="42" spans="2:5" ht="63.75" hidden="1" thickBot="1">
      <c r="B42" s="68" t="s">
        <v>800</v>
      </c>
      <c r="C42" s="65" t="s">
        <v>661</v>
      </c>
      <c r="D42" s="44"/>
      <c r="E42" s="174"/>
    </row>
    <row r="43" spans="2:5" ht="16.5" thickBot="1">
      <c r="B43" s="69" t="s">
        <v>685</v>
      </c>
      <c r="C43" s="212" t="s">
        <v>817</v>
      </c>
      <c r="D43" s="43" t="s">
        <v>801</v>
      </c>
      <c r="E43" s="231">
        <v>31781.91</v>
      </c>
    </row>
    <row r="44" spans="2:5" ht="32.25" hidden="1" thickBot="1">
      <c r="B44" s="70" t="s">
        <v>802</v>
      </c>
      <c r="C44" s="47"/>
      <c r="D44" s="44"/>
      <c r="E44" s="174"/>
    </row>
    <row r="45" spans="2:5" ht="20.25" thickBot="1">
      <c r="B45" s="14" t="s">
        <v>760</v>
      </c>
      <c r="C45" s="17"/>
      <c r="E45" s="262">
        <f>E58</f>
        <v>402181.23</v>
      </c>
    </row>
    <row r="46" spans="2:5" ht="24.75" thickBot="1">
      <c r="B46" s="150" t="s">
        <v>672</v>
      </c>
      <c r="C46" s="15" t="s">
        <v>920</v>
      </c>
      <c r="D46" s="49" t="s">
        <v>673</v>
      </c>
      <c r="E46" s="176" t="s">
        <v>793</v>
      </c>
    </row>
    <row r="47" spans="2:5" ht="15">
      <c r="B47" s="217" t="s">
        <v>816</v>
      </c>
      <c r="C47" s="255" t="s">
        <v>661</v>
      </c>
      <c r="D47" s="222"/>
      <c r="E47" s="258">
        <v>28256.99</v>
      </c>
    </row>
    <row r="48" spans="2:5" ht="14.25">
      <c r="B48" s="188" t="s">
        <v>928</v>
      </c>
      <c r="C48" s="74" t="s">
        <v>661</v>
      </c>
      <c r="D48" s="153"/>
      <c r="E48" s="177">
        <v>3250.57</v>
      </c>
    </row>
    <row r="49" spans="2:5" ht="14.25">
      <c r="B49" s="188" t="s">
        <v>1000</v>
      </c>
      <c r="C49" s="74" t="s">
        <v>661</v>
      </c>
      <c r="D49" s="153"/>
      <c r="E49" s="177">
        <v>160788.49</v>
      </c>
    </row>
    <row r="50" spans="2:5" ht="14.25">
      <c r="B50" s="151" t="s">
        <v>676</v>
      </c>
      <c r="C50" s="116"/>
      <c r="D50" s="153"/>
      <c r="E50" s="177"/>
    </row>
    <row r="51" spans="2:5" ht="14.25">
      <c r="B51" s="132" t="s">
        <v>883</v>
      </c>
      <c r="C51" s="74" t="s">
        <v>661</v>
      </c>
      <c r="D51" s="153"/>
      <c r="E51" s="179">
        <f>4877.7+110496.48+23762.58</f>
        <v>139136.76</v>
      </c>
    </row>
    <row r="52" spans="2:5" ht="14.25">
      <c r="B52" s="157" t="s">
        <v>880</v>
      </c>
      <c r="C52" s="74" t="s">
        <v>661</v>
      </c>
      <c r="D52" s="153"/>
      <c r="E52" s="259">
        <v>15244.38</v>
      </c>
    </row>
    <row r="53" spans="2:5" ht="14.25">
      <c r="B53" s="157" t="s">
        <v>925</v>
      </c>
      <c r="C53" s="74" t="s">
        <v>661</v>
      </c>
      <c r="D53" s="153"/>
      <c r="E53" s="180">
        <f>21978.15+7002.52</f>
        <v>28980.670000000002</v>
      </c>
    </row>
    <row r="54" spans="2:5" ht="15">
      <c r="B54" s="151" t="s">
        <v>1025</v>
      </c>
      <c r="C54" s="118"/>
      <c r="D54" s="153"/>
      <c r="E54" s="191"/>
    </row>
    <row r="55" spans="2:5" ht="14.25">
      <c r="B55" s="159" t="s">
        <v>998</v>
      </c>
      <c r="C55" s="74" t="s">
        <v>661</v>
      </c>
      <c r="D55" s="153"/>
      <c r="E55" s="192">
        <f>23601.26+809.13</f>
        <v>24410.39</v>
      </c>
    </row>
    <row r="56" spans="2:5" ht="14.25">
      <c r="B56" s="159" t="s">
        <v>929</v>
      </c>
      <c r="C56" s="74" t="s">
        <v>661</v>
      </c>
      <c r="D56" s="13"/>
      <c r="E56" s="85">
        <v>2112.98</v>
      </c>
    </row>
    <row r="57" spans="2:5" ht="12.75" hidden="1">
      <c r="B57" s="13"/>
      <c r="C57" s="13"/>
      <c r="D57" s="13"/>
      <c r="E57" s="85"/>
    </row>
    <row r="58" spans="2:5" ht="12.75" hidden="1">
      <c r="B58" s="117" t="s">
        <v>1014</v>
      </c>
      <c r="C58" s="13"/>
      <c r="D58" s="13"/>
      <c r="E58" s="256">
        <f>E47+E48+E49+E51+E52+E53+E55+E56</f>
        <v>402181.23</v>
      </c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1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</sheetData>
  <sheetProtection/>
  <mergeCells count="13">
    <mergeCell ref="B7:C7"/>
    <mergeCell ref="B9:C10"/>
    <mergeCell ref="B2:C2"/>
    <mergeCell ref="B3:C3"/>
    <mergeCell ref="B4:C4"/>
    <mergeCell ref="B5:C5"/>
    <mergeCell ref="B19:E19"/>
    <mergeCell ref="B12:C12"/>
    <mergeCell ref="B13:C13"/>
    <mergeCell ref="B14:C14"/>
    <mergeCell ref="B15:C15"/>
    <mergeCell ref="B16:C16"/>
    <mergeCell ref="B18:E18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99CC"/>
  </sheetPr>
  <dimension ref="A3:G8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9.710937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2.75" customHeight="1">
      <c r="A8" s="26"/>
      <c r="B8" s="26"/>
      <c r="C8"/>
    </row>
    <row r="9" spans="1:4" ht="15">
      <c r="A9" s="1343" t="s">
        <v>546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138333.16</v>
      </c>
      <c r="D13" s="1378"/>
    </row>
    <row r="14" spans="1:4" ht="14.25">
      <c r="A14" s="471" t="s">
        <v>486</v>
      </c>
      <c r="B14" s="473"/>
      <c r="C14" s="1375">
        <v>1103439.52</v>
      </c>
      <c r="D14" s="1376"/>
    </row>
    <row r="15" spans="1:4" ht="14.25">
      <c r="A15" s="470" t="s">
        <v>647</v>
      </c>
      <c r="B15" s="474"/>
      <c r="C15" s="1312">
        <v>1051181.71</v>
      </c>
      <c r="D15" s="1313"/>
    </row>
    <row r="16" spans="1:4" ht="15">
      <c r="A16" s="475" t="s">
        <v>348</v>
      </c>
      <c r="B16" s="476"/>
      <c r="C16" s="1377">
        <f>C13+C14-C15</f>
        <v>190590.96999999997</v>
      </c>
      <c r="D16" s="1378"/>
    </row>
    <row r="17" spans="1:4" ht="14.25">
      <c r="A17" s="470" t="s">
        <v>539</v>
      </c>
      <c r="B17" s="474"/>
      <c r="C17" s="1407">
        <v>908288.93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192460.85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112759.5</v>
      </c>
    </row>
    <row r="27" spans="1:4" ht="24.75">
      <c r="A27" s="546" t="s">
        <v>14</v>
      </c>
      <c r="B27" s="397" t="s">
        <v>657</v>
      </c>
      <c r="C27" s="506"/>
      <c r="D27" s="507">
        <v>140963.98</v>
      </c>
    </row>
    <row r="28" spans="1:4" ht="15">
      <c r="A28" s="492" t="s">
        <v>909</v>
      </c>
      <c r="B28" s="399" t="s">
        <v>661</v>
      </c>
      <c r="C28" s="508"/>
      <c r="D28" s="509">
        <v>2943.3</v>
      </c>
    </row>
    <row r="29" spans="1:4" ht="15">
      <c r="A29" s="492" t="s">
        <v>799</v>
      </c>
      <c r="B29" s="399"/>
      <c r="C29" s="508"/>
      <c r="D29" s="509">
        <v>64743.43</v>
      </c>
    </row>
    <row r="30" spans="1:4" ht="30" thickBot="1">
      <c r="A30" s="413" t="s">
        <v>586</v>
      </c>
      <c r="B30" s="609"/>
      <c r="C30" s="610"/>
      <c r="D30" s="595">
        <v>13212.32</v>
      </c>
    </row>
    <row r="31" spans="1:7" ht="15.75" thickBot="1">
      <c r="A31" s="805" t="s">
        <v>701</v>
      </c>
      <c r="B31" s="980"/>
      <c r="C31" s="981"/>
      <c r="D31" s="839">
        <v>527083.38</v>
      </c>
      <c r="G31" s="111"/>
    </row>
    <row r="32" spans="1:4" ht="15.75" thickBot="1">
      <c r="A32" s="487" t="s">
        <v>914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83" t="s">
        <v>11</v>
      </c>
      <c r="B34" s="514"/>
      <c r="C34" s="515"/>
      <c r="D34" s="434">
        <v>72887.68</v>
      </c>
    </row>
    <row r="35" spans="1:4" ht="15.75" thickBot="1">
      <c r="A35" s="843" t="s">
        <v>968</v>
      </c>
      <c r="B35" s="924" t="s">
        <v>817</v>
      </c>
      <c r="C35" s="432">
        <v>1</v>
      </c>
      <c r="D35" s="1064">
        <v>3875.73</v>
      </c>
    </row>
    <row r="36" spans="1:4" ht="15.75" thickBot="1">
      <c r="A36" s="806" t="s">
        <v>701</v>
      </c>
      <c r="B36" s="811"/>
      <c r="C36" s="803"/>
      <c r="D36" s="858">
        <v>76763.41</v>
      </c>
    </row>
    <row r="37" spans="1:4" ht="15">
      <c r="A37" s="808" t="s">
        <v>445</v>
      </c>
      <c r="B37" s="800"/>
      <c r="C37" s="441"/>
      <c r="D37" s="441"/>
    </row>
    <row r="38" spans="1:4" ht="15">
      <c r="A38" s="359" t="s">
        <v>378</v>
      </c>
      <c r="B38" s="365"/>
      <c r="C38" s="421">
        <v>1</v>
      </c>
      <c r="D38" s="422">
        <v>26603</v>
      </c>
    </row>
    <row r="39" spans="1:4" ht="15">
      <c r="A39" s="359" t="s">
        <v>324</v>
      </c>
      <c r="B39" s="365" t="s">
        <v>211</v>
      </c>
      <c r="C39" s="421">
        <v>3</v>
      </c>
      <c r="D39" s="422">
        <v>4217.05</v>
      </c>
    </row>
    <row r="40" spans="1:4" ht="15">
      <c r="A40" s="359" t="s">
        <v>393</v>
      </c>
      <c r="B40" s="365" t="s">
        <v>478</v>
      </c>
      <c r="C40" s="421">
        <v>7</v>
      </c>
      <c r="D40" s="422">
        <v>10019.74</v>
      </c>
    </row>
    <row r="41" spans="1:4" ht="15">
      <c r="A41" s="807" t="s">
        <v>84</v>
      </c>
      <c r="B41" s="758" t="s">
        <v>478</v>
      </c>
      <c r="C41" s="439">
        <v>1</v>
      </c>
      <c r="D41" s="424">
        <v>3310.48</v>
      </c>
    </row>
    <row r="42" spans="1:4" ht="15.75" thickBot="1">
      <c r="A42" s="807" t="s">
        <v>588</v>
      </c>
      <c r="B42" s="758" t="s">
        <v>478</v>
      </c>
      <c r="C42" s="439">
        <v>3</v>
      </c>
      <c r="D42" s="425">
        <v>8268.04</v>
      </c>
    </row>
    <row r="43" spans="1:4" ht="15.75" thickBot="1">
      <c r="A43" s="806" t="s">
        <v>701</v>
      </c>
      <c r="B43" s="811"/>
      <c r="C43" s="803"/>
      <c r="D43" s="841">
        <v>52418.31</v>
      </c>
    </row>
    <row r="44" spans="1:4" ht="15">
      <c r="A44" s="938" t="s">
        <v>780</v>
      </c>
      <c r="B44" s="834"/>
      <c r="C44" s="799"/>
      <c r="D44" s="810"/>
    </row>
    <row r="45" spans="1:4" ht="15">
      <c r="A45" s="359" t="s">
        <v>235</v>
      </c>
      <c r="B45" s="365" t="s">
        <v>211</v>
      </c>
      <c r="C45" s="359">
        <v>1</v>
      </c>
      <c r="D45" s="532">
        <v>4505.81</v>
      </c>
    </row>
    <row r="46" spans="1:4" ht="15.75" thickBot="1">
      <c r="A46" s="359" t="s">
        <v>727</v>
      </c>
      <c r="B46" s="365"/>
      <c r="C46" s="359">
        <v>1</v>
      </c>
      <c r="D46" s="532">
        <v>442.38</v>
      </c>
    </row>
    <row r="47" spans="1:4" ht="15.75" thickBot="1">
      <c r="A47" s="806" t="s">
        <v>701</v>
      </c>
      <c r="B47" s="811"/>
      <c r="C47" s="803"/>
      <c r="D47" s="841">
        <v>4948.19</v>
      </c>
    </row>
    <row r="48" spans="1:4" ht="15">
      <c r="A48" s="808" t="s">
        <v>424</v>
      </c>
      <c r="B48" s="570"/>
      <c r="C48" s="441"/>
      <c r="D48" s="801"/>
    </row>
    <row r="49" spans="1:4" ht="15.75" thickBot="1">
      <c r="A49" s="807" t="s">
        <v>695</v>
      </c>
      <c r="B49" s="758"/>
      <c r="C49" s="439">
        <v>1</v>
      </c>
      <c r="D49" s="425">
        <v>715.02</v>
      </c>
    </row>
    <row r="50" spans="1:4" ht="15.75" thickBot="1">
      <c r="A50" s="806" t="s">
        <v>701</v>
      </c>
      <c r="B50" s="811"/>
      <c r="C50" s="803"/>
      <c r="D50" s="863">
        <v>715.02</v>
      </c>
    </row>
    <row r="51" spans="1:4" ht="15">
      <c r="A51" s="890" t="s">
        <v>425</v>
      </c>
      <c r="B51" s="570"/>
      <c r="C51" s="441"/>
      <c r="D51" s="441"/>
    </row>
    <row r="52" spans="1:4" ht="15">
      <c r="A52" s="1054" t="s">
        <v>479</v>
      </c>
      <c r="B52" s="570" t="s">
        <v>52</v>
      </c>
      <c r="C52" s="441">
        <v>4</v>
      </c>
      <c r="D52" s="441">
        <v>5564.19</v>
      </c>
    </row>
    <row r="53" spans="1:4" ht="15">
      <c r="A53" s="1054" t="s">
        <v>212</v>
      </c>
      <c r="B53" s="570" t="s">
        <v>81</v>
      </c>
      <c r="C53" s="441">
        <v>1</v>
      </c>
      <c r="D53" s="441">
        <v>1620.72</v>
      </c>
    </row>
    <row r="54" spans="1:4" ht="15.75" thickBot="1">
      <c r="A54" s="999" t="s">
        <v>882</v>
      </c>
      <c r="B54" s="834"/>
      <c r="C54" s="836">
        <v>2</v>
      </c>
      <c r="D54" s="836">
        <v>906.61</v>
      </c>
    </row>
    <row r="55" spans="1:4" ht="15.75" thickBot="1">
      <c r="A55" s="806" t="s">
        <v>701</v>
      </c>
      <c r="B55" s="811"/>
      <c r="C55" s="803"/>
      <c r="D55" s="863">
        <v>8091.52</v>
      </c>
    </row>
    <row r="56" spans="1:4" ht="15">
      <c r="A56" s="890" t="s">
        <v>386</v>
      </c>
      <c r="B56" s="570"/>
      <c r="C56" s="441"/>
      <c r="D56" s="441"/>
    </row>
    <row r="57" spans="1:4" ht="15">
      <c r="A57" s="387" t="s">
        <v>113</v>
      </c>
      <c r="B57" s="365" t="s">
        <v>478</v>
      </c>
      <c r="C57" s="421">
        <v>1</v>
      </c>
      <c r="D57" s="421">
        <v>377.65</v>
      </c>
    </row>
    <row r="58" spans="1:4" ht="15">
      <c r="A58" s="387" t="s">
        <v>589</v>
      </c>
      <c r="B58" s="365" t="s">
        <v>52</v>
      </c>
      <c r="C58" s="421">
        <v>1</v>
      </c>
      <c r="D58" s="421">
        <v>154.82</v>
      </c>
    </row>
    <row r="59" spans="1:4" ht="15">
      <c r="A59" s="387" t="s">
        <v>692</v>
      </c>
      <c r="B59" s="365"/>
      <c r="C59" s="421">
        <v>4</v>
      </c>
      <c r="D59" s="421">
        <v>1455.25</v>
      </c>
    </row>
    <row r="60" spans="1:4" ht="15.75" thickBot="1">
      <c r="A60" s="807" t="s">
        <v>587</v>
      </c>
      <c r="B60" s="758" t="s">
        <v>478</v>
      </c>
      <c r="C60" s="439">
        <v>13</v>
      </c>
      <c r="D60" s="424">
        <v>4710.25</v>
      </c>
    </row>
    <row r="61" spans="1:4" ht="15">
      <c r="A61" s="879" t="s">
        <v>701</v>
      </c>
      <c r="B61" s="849"/>
      <c r="C61" s="925"/>
      <c r="D61" s="941">
        <v>6697.97</v>
      </c>
    </row>
    <row r="62" spans="1:4" ht="15">
      <c r="A62" s="838"/>
      <c r="B62" s="365"/>
      <c r="C62" s="421"/>
      <c r="D62" s="428"/>
    </row>
    <row r="63" spans="1:4" ht="15">
      <c r="A63" s="838" t="s">
        <v>375</v>
      </c>
      <c r="B63" s="365"/>
      <c r="C63" s="421"/>
      <c r="D63" s="428">
        <v>149634.42</v>
      </c>
    </row>
    <row r="64" spans="1:4" ht="15.75">
      <c r="A64" s="542"/>
      <c r="B64" s="570"/>
      <c r="C64" s="1171"/>
      <c r="D64" s="959"/>
    </row>
    <row r="65" spans="1:4" ht="15">
      <c r="A65" s="808" t="s">
        <v>743</v>
      </c>
      <c r="B65" s="757"/>
      <c r="C65" s="427"/>
      <c r="D65" s="428">
        <v>41754.07</v>
      </c>
    </row>
    <row r="66" spans="1:4" ht="15">
      <c r="A66" s="955" t="s">
        <v>904</v>
      </c>
      <c r="B66" s="365"/>
      <c r="C66" s="679"/>
      <c r="D66" s="869">
        <v>22069</v>
      </c>
    </row>
    <row r="67" spans="1:4" ht="15">
      <c r="A67" s="955" t="s">
        <v>775</v>
      </c>
      <c r="B67" s="365"/>
      <c r="C67" s="519"/>
      <c r="D67" s="869">
        <v>167748.06</v>
      </c>
    </row>
    <row r="68" spans="1:4" ht="15.75" thickBot="1">
      <c r="A68" s="526"/>
      <c r="B68" s="758"/>
      <c r="C68" s="519"/>
      <c r="D68" s="541"/>
    </row>
    <row r="69" spans="1:4" ht="15.75" thickBot="1">
      <c r="A69" s="806" t="s">
        <v>36</v>
      </c>
      <c r="B69" s="811"/>
      <c r="C69" s="907"/>
      <c r="D69" s="858">
        <v>908288.93</v>
      </c>
    </row>
    <row r="70" spans="1:4" ht="15">
      <c r="A70" s="370"/>
      <c r="B70" s="370"/>
      <c r="C70" s="370"/>
      <c r="D70" s="371"/>
    </row>
    <row r="71" spans="1:4" ht="15">
      <c r="A71" s="370"/>
      <c r="B71" s="370"/>
      <c r="C71" s="370"/>
      <c r="D71" s="371"/>
    </row>
    <row r="72" spans="1:4" ht="15">
      <c r="A72" s="370"/>
      <c r="B72" s="370"/>
      <c r="C72" s="370"/>
      <c r="D72" s="371"/>
    </row>
    <row r="73" spans="1:4" ht="14.25">
      <c r="A73" s="764"/>
      <c r="B73" s="358"/>
      <c r="C73" s="359"/>
      <c r="D73" s="1262"/>
    </row>
    <row r="74" spans="1:4" ht="15">
      <c r="A74" s="1251" t="s">
        <v>568</v>
      </c>
      <c r="B74" s="1257"/>
      <c r="C74" s="467"/>
      <c r="D74" s="467">
        <v>0</v>
      </c>
    </row>
    <row r="75" spans="1:4" ht="15">
      <c r="A75" s="1332" t="s">
        <v>569</v>
      </c>
      <c r="B75" s="1332"/>
      <c r="C75" s="628"/>
      <c r="D75" s="608">
        <v>1051181.71</v>
      </c>
    </row>
    <row r="76" spans="1:4" ht="15">
      <c r="A76" s="1332" t="s">
        <v>570</v>
      </c>
      <c r="B76" s="1332"/>
      <c r="C76" s="607"/>
      <c r="D76" s="608">
        <v>908288.93</v>
      </c>
    </row>
    <row r="77" spans="1:4" ht="15">
      <c r="A77" s="1333" t="s">
        <v>571</v>
      </c>
      <c r="B77" s="1333"/>
      <c r="C77" s="629"/>
      <c r="D77" s="629">
        <v>-142892.78</v>
      </c>
    </row>
    <row r="78" spans="1:4" ht="15">
      <c r="A78" s="1332" t="s">
        <v>179</v>
      </c>
      <c r="B78" s="1332"/>
      <c r="C78" s="1258"/>
      <c r="D78" s="630">
        <v>-142892.78</v>
      </c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/>
      <c r="B81" s="538"/>
      <c r="C81" s="1259"/>
      <c r="D81" s="1260"/>
    </row>
    <row r="82" spans="1:4" ht="15">
      <c r="A82" s="538" t="s">
        <v>180</v>
      </c>
      <c r="B82" s="538"/>
      <c r="C82" s="1259" t="s">
        <v>573</v>
      </c>
      <c r="D82" s="1260"/>
    </row>
    <row r="83" spans="1:4" ht="15">
      <c r="A83" s="538"/>
      <c r="B83" s="538"/>
      <c r="C83" s="1259"/>
      <c r="D83" s="1260"/>
    </row>
    <row r="84" ht="12.75">
      <c r="A84" s="735" t="s">
        <v>357</v>
      </c>
    </row>
    <row r="85" ht="12.75">
      <c r="A85" s="735" t="s">
        <v>906</v>
      </c>
    </row>
    <row r="86" ht="12.75">
      <c r="A86" s="735" t="s">
        <v>358</v>
      </c>
    </row>
  </sheetData>
  <sheetProtection/>
  <mergeCells count="18">
    <mergeCell ref="A20:D20"/>
    <mergeCell ref="A21:D21"/>
    <mergeCell ref="C14:D14"/>
    <mergeCell ref="C15:D15"/>
    <mergeCell ref="C16:D16"/>
    <mergeCell ref="C17:D17"/>
    <mergeCell ref="A4:B4"/>
    <mergeCell ref="A5:B5"/>
    <mergeCell ref="A6:B6"/>
    <mergeCell ref="A7:B7"/>
    <mergeCell ref="A9:B9"/>
    <mergeCell ref="A11:B12"/>
    <mergeCell ref="C11:D12"/>
    <mergeCell ref="C13:D13"/>
    <mergeCell ref="A75:B75"/>
    <mergeCell ref="A76:B76"/>
    <mergeCell ref="A77:B77"/>
    <mergeCell ref="A78:B78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0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71093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838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26932.66+101.82</f>
        <v>27034.48</v>
      </c>
      <c r="E11" s="25">
        <v>4792.87</v>
      </c>
    </row>
    <row r="12" spans="2:5" ht="16.5" thickBot="1">
      <c r="B12" s="1398" t="s">
        <v>646</v>
      </c>
      <c r="C12" s="1399"/>
      <c r="D12" s="89">
        <f>252239.64+883.52</f>
        <v>253123.16</v>
      </c>
      <c r="E12" s="5">
        <v>14088.69</v>
      </c>
    </row>
    <row r="13" spans="2:5" ht="16.5" thickBot="1">
      <c r="B13" s="1398" t="s">
        <v>647</v>
      </c>
      <c r="C13" s="1399"/>
      <c r="D13" s="5">
        <f>246626.16+985.34</f>
        <v>247611.5</v>
      </c>
      <c r="E13" s="5">
        <v>18881.56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25569.72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32546.140000000014</v>
      </c>
      <c r="E17" s="5">
        <f>E11+E12-E13</f>
        <v>0</v>
      </c>
    </row>
    <row r="18" spans="2:5" ht="16.5" thickBot="1">
      <c r="B18" s="1398" t="s">
        <v>806</v>
      </c>
      <c r="C18" s="1399"/>
      <c r="D18" s="113">
        <f>E24+E46</f>
        <v>245915.32999999996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E25+E31+E33+E34+E44</f>
        <v>175535.54999999996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85514.73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45836.67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33894.08</v>
      </c>
    </row>
    <row r="34" spans="2:5" ht="16.5" thickBot="1">
      <c r="B34" s="67" t="s">
        <v>879</v>
      </c>
      <c r="C34" s="119" t="s">
        <v>661</v>
      </c>
      <c r="D34" s="43"/>
      <c r="E34" s="230">
        <v>805.55</v>
      </c>
    </row>
    <row r="35" spans="2:5" ht="16.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78.75" hidden="1" thickBot="1">
      <c r="B38" s="36" t="s">
        <v>790</v>
      </c>
      <c r="C38" s="65" t="s">
        <v>661</v>
      </c>
      <c r="D38" s="44"/>
      <c r="E38" s="174"/>
    </row>
    <row r="39" spans="2:5" ht="48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39.75" hidden="1" thickBot="1">
      <c r="B42" s="67" t="s">
        <v>670</v>
      </c>
      <c r="C42" s="64" t="s">
        <v>684</v>
      </c>
      <c r="D42" s="46"/>
      <c r="E42" s="240"/>
    </row>
    <row r="43" spans="2:5" ht="48" hidden="1" thickBot="1">
      <c r="B43" s="68" t="s">
        <v>800</v>
      </c>
      <c r="C43" s="65" t="s">
        <v>661</v>
      </c>
      <c r="D43" s="44"/>
      <c r="E43" s="174"/>
    </row>
    <row r="44" spans="2:5" ht="16.5" thickBot="1">
      <c r="B44" s="69" t="s">
        <v>685</v>
      </c>
      <c r="C44" s="212" t="s">
        <v>817</v>
      </c>
      <c r="D44" s="43" t="s">
        <v>801</v>
      </c>
      <c r="E44" s="231">
        <v>9484.52</v>
      </c>
    </row>
    <row r="45" spans="2:5" ht="32.25" hidden="1" thickBot="1">
      <c r="B45" s="70" t="s">
        <v>802</v>
      </c>
      <c r="C45" s="47"/>
      <c r="D45" s="44"/>
      <c r="E45" s="174"/>
    </row>
    <row r="46" spans="2:5" ht="20.25" thickBot="1">
      <c r="B46" s="14" t="s">
        <v>760</v>
      </c>
      <c r="C46" s="17"/>
      <c r="E46" s="263">
        <f>E56</f>
        <v>70379.78000000001</v>
      </c>
    </row>
    <row r="47" spans="2:5" ht="15.75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4.25">
      <c r="B48" s="188" t="s">
        <v>928</v>
      </c>
      <c r="C48" s="74" t="s">
        <v>661</v>
      </c>
      <c r="D48" s="153"/>
      <c r="E48" s="177">
        <v>459.86</v>
      </c>
    </row>
    <row r="49" spans="2:5" ht="14.25">
      <c r="B49" s="151" t="s">
        <v>676</v>
      </c>
      <c r="C49" s="116"/>
      <c r="D49" s="153"/>
      <c r="E49" s="177"/>
    </row>
    <row r="50" spans="2:5" ht="14.25">
      <c r="B50" s="132" t="s">
        <v>883</v>
      </c>
      <c r="C50" s="74" t="s">
        <v>661</v>
      </c>
      <c r="D50" s="153"/>
      <c r="E50" s="179">
        <v>25207.64</v>
      </c>
    </row>
    <row r="51" spans="2:5" ht="14.25">
      <c r="B51" s="157" t="s">
        <v>925</v>
      </c>
      <c r="C51" s="74" t="s">
        <v>661</v>
      </c>
      <c r="D51" s="153"/>
      <c r="E51" s="180">
        <v>16127.33</v>
      </c>
    </row>
    <row r="52" spans="2:5" ht="15">
      <c r="B52" s="151" t="s">
        <v>1025</v>
      </c>
      <c r="C52" s="118"/>
      <c r="D52" s="153"/>
      <c r="E52" s="191"/>
    </row>
    <row r="53" spans="2:5" ht="14.25">
      <c r="B53" s="159" t="s">
        <v>998</v>
      </c>
      <c r="C53" s="74" t="s">
        <v>661</v>
      </c>
      <c r="D53" s="153"/>
      <c r="E53" s="192">
        <f>25126.52+2819.11</f>
        <v>27945.63</v>
      </c>
    </row>
    <row r="54" spans="2:5" ht="14.25">
      <c r="B54" s="159" t="s">
        <v>929</v>
      </c>
      <c r="C54" s="74" t="s">
        <v>661</v>
      </c>
      <c r="D54" s="13"/>
      <c r="E54" s="85">
        <v>639.32</v>
      </c>
    </row>
    <row r="55" spans="1:5" ht="12.75" hidden="1">
      <c r="A55" s="1" t="s">
        <v>0</v>
      </c>
      <c r="B55" s="13"/>
      <c r="C55" s="13"/>
      <c r="D55" s="13"/>
      <c r="E55" s="85"/>
    </row>
    <row r="56" spans="2:5" ht="12.75" hidden="1">
      <c r="B56" s="117" t="s">
        <v>1014</v>
      </c>
      <c r="C56" s="13"/>
      <c r="D56" s="13"/>
      <c r="E56" s="256">
        <f>E48+E50+E51+E53+E54</f>
        <v>70379.78000000001</v>
      </c>
    </row>
    <row r="57" spans="2:5" ht="12.75">
      <c r="B57" s="103"/>
      <c r="C57" s="11"/>
      <c r="D57" s="11"/>
      <c r="E57" s="207"/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1"/>
      <c r="C61" s="11"/>
      <c r="D61" s="11"/>
      <c r="E61" s="207"/>
    </row>
    <row r="62" spans="2:5" ht="15.75">
      <c r="B62" s="6" t="s">
        <v>830</v>
      </c>
      <c r="C62" s="6" t="s">
        <v>889</v>
      </c>
      <c r="E62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9448818897637796" bottom="0.7480314960629921" header="0.31496062992125984" footer="0.31496062992125984"/>
  <pageSetup horizontalDpi="600" verticalDpi="600" orientation="portrait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99CC"/>
  </sheetPr>
  <dimension ref="A3:I8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4.421875" style="1" customWidth="1"/>
    <col min="2" max="2" width="9.5742187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304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63624.55</v>
      </c>
      <c r="D13" s="1309"/>
    </row>
    <row r="14" spans="1:4" ht="14.25">
      <c r="A14" s="471" t="s">
        <v>486</v>
      </c>
      <c r="B14" s="473"/>
      <c r="C14" s="1375">
        <v>252239.64</v>
      </c>
      <c r="D14" s="1376"/>
    </row>
    <row r="15" spans="1:4" ht="14.25">
      <c r="A15" s="470" t="s">
        <v>647</v>
      </c>
      <c r="B15" s="474"/>
      <c r="C15" s="1312">
        <v>226665.42</v>
      </c>
      <c r="D15" s="1313"/>
    </row>
    <row r="16" spans="1:4" ht="15">
      <c r="A16" s="475" t="s">
        <v>348</v>
      </c>
      <c r="B16" s="476"/>
      <c r="C16" s="1377">
        <f>C13+C14-C15</f>
        <v>89198.76999999999</v>
      </c>
      <c r="D16" s="1378"/>
    </row>
    <row r="17" spans="1:4" ht="14.25">
      <c r="A17" s="470" t="s">
        <v>498</v>
      </c>
      <c r="B17" s="474"/>
      <c r="C17" s="1407">
        <v>330140.3</v>
      </c>
      <c r="D17" s="1408"/>
    </row>
    <row r="18" spans="1:9" ht="12.75">
      <c r="A18" s="82"/>
      <c r="B18" s="83"/>
      <c r="C18" s="83"/>
      <c r="D18" s="83"/>
      <c r="I18" t="s">
        <v>535</v>
      </c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54126.22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31711.62</v>
      </c>
    </row>
    <row r="27" spans="1:4" ht="24.75">
      <c r="A27" s="546" t="s">
        <v>14</v>
      </c>
      <c r="B27" s="397" t="s">
        <v>657</v>
      </c>
      <c r="C27" s="506"/>
      <c r="D27" s="507">
        <v>39643.64</v>
      </c>
    </row>
    <row r="28" spans="1:4" ht="15">
      <c r="A28" s="492" t="s">
        <v>590</v>
      </c>
      <c r="B28" s="611"/>
      <c r="C28" s="508"/>
      <c r="D28" s="509">
        <v>5565.789</v>
      </c>
    </row>
    <row r="29" spans="1:4" ht="15.75" thickBot="1">
      <c r="A29" s="540" t="s">
        <v>799</v>
      </c>
      <c r="B29" s="673"/>
      <c r="C29" s="1172"/>
      <c r="D29" s="618">
        <v>7620.49</v>
      </c>
    </row>
    <row r="30" spans="1:4" ht="15.75" thickBot="1">
      <c r="A30" s="805" t="s">
        <v>701</v>
      </c>
      <c r="B30" s="980"/>
      <c r="C30" s="981"/>
      <c r="D30" s="839">
        <v>138667.76</v>
      </c>
    </row>
    <row r="31" spans="1:4" ht="15.75" thickBot="1">
      <c r="A31" s="487" t="s">
        <v>914</v>
      </c>
      <c r="B31" s="461"/>
      <c r="C31" s="462"/>
      <c r="D31" s="463"/>
    </row>
    <row r="32" spans="1:4" ht="24">
      <c r="A32" s="943" t="s">
        <v>194</v>
      </c>
      <c r="B32" s="514" t="s">
        <v>920</v>
      </c>
      <c r="C32" s="515" t="s">
        <v>673</v>
      </c>
      <c r="D32" s="516" t="s">
        <v>793</v>
      </c>
    </row>
    <row r="33" spans="1:4" ht="16.5" thickBot="1">
      <c r="A33" s="942" t="s">
        <v>599</v>
      </c>
      <c r="B33" s="758"/>
      <c r="C33" s="439">
        <v>1</v>
      </c>
      <c r="D33" s="439">
        <v>43221.09</v>
      </c>
    </row>
    <row r="34" spans="1:4" ht="16.5" thickBot="1">
      <c r="A34" s="829" t="s">
        <v>701</v>
      </c>
      <c r="B34" s="811"/>
      <c r="C34" s="803"/>
      <c r="D34" s="858">
        <v>43221.09</v>
      </c>
    </row>
    <row r="35" spans="1:4" ht="15">
      <c r="A35" s="1045" t="s">
        <v>445</v>
      </c>
      <c r="B35" s="1042"/>
      <c r="C35" s="1043"/>
      <c r="D35" s="1044"/>
    </row>
    <row r="36" spans="1:4" ht="15">
      <c r="A36" s="389" t="s">
        <v>299</v>
      </c>
      <c r="B36" s="747" t="s">
        <v>40</v>
      </c>
      <c r="C36" s="490">
        <v>1</v>
      </c>
      <c r="D36" s="1044">
        <v>2457.72</v>
      </c>
    </row>
    <row r="37" spans="1:4" ht="15">
      <c r="A37" s="389" t="s">
        <v>603</v>
      </c>
      <c r="B37" s="747"/>
      <c r="C37" s="490">
        <v>3</v>
      </c>
      <c r="D37" s="1044">
        <v>1177.465</v>
      </c>
    </row>
    <row r="38" spans="1:4" ht="15">
      <c r="A38" s="389" t="s">
        <v>604</v>
      </c>
      <c r="B38" s="747" t="s">
        <v>40</v>
      </c>
      <c r="C38" s="490">
        <v>2</v>
      </c>
      <c r="D38" s="1044">
        <v>5304.59</v>
      </c>
    </row>
    <row r="39" spans="1:4" ht="15">
      <c r="A39" s="389" t="s">
        <v>173</v>
      </c>
      <c r="B39" s="747" t="s">
        <v>40</v>
      </c>
      <c r="C39" s="490">
        <v>1</v>
      </c>
      <c r="D39" s="1044">
        <v>306.13</v>
      </c>
    </row>
    <row r="40" spans="1:4" ht="15.75" thickBot="1">
      <c r="A40" s="843" t="s">
        <v>972</v>
      </c>
      <c r="B40" s="758"/>
      <c r="C40" s="439"/>
      <c r="D40" s="541">
        <v>26603</v>
      </c>
    </row>
    <row r="41" spans="1:4" ht="15.75" thickBot="1">
      <c r="A41" s="806" t="s">
        <v>701</v>
      </c>
      <c r="B41" s="825"/>
      <c r="C41" s="803"/>
      <c r="D41" s="858">
        <v>35848.91</v>
      </c>
    </row>
    <row r="42" spans="1:4" ht="15">
      <c r="A42" s="808" t="s">
        <v>780</v>
      </c>
      <c r="B42" s="800"/>
      <c r="C42" s="441"/>
      <c r="D42" s="441"/>
    </row>
    <row r="43" spans="1:4" ht="15">
      <c r="A43" s="177" t="s">
        <v>75</v>
      </c>
      <c r="B43" s="761" t="s">
        <v>211</v>
      </c>
      <c r="C43" s="421">
        <v>1</v>
      </c>
      <c r="D43" s="422">
        <v>2943.6</v>
      </c>
    </row>
    <row r="44" spans="1:4" ht="15">
      <c r="A44" s="377" t="s">
        <v>197</v>
      </c>
      <c r="B44" s="761"/>
      <c r="C44" s="421">
        <v>1</v>
      </c>
      <c r="D44" s="555">
        <v>457.47</v>
      </c>
    </row>
    <row r="45" spans="1:4" ht="15.75" thickBot="1">
      <c r="A45" s="807" t="s">
        <v>423</v>
      </c>
      <c r="B45" s="758" t="s">
        <v>478</v>
      </c>
      <c r="C45" s="809">
        <v>2</v>
      </c>
      <c r="D45" s="425">
        <v>1810.2</v>
      </c>
    </row>
    <row r="46" spans="1:4" ht="15.75" thickBot="1">
      <c r="A46" s="806" t="s">
        <v>701</v>
      </c>
      <c r="B46" s="811"/>
      <c r="C46" s="812"/>
      <c r="D46" s="858">
        <v>5211.27</v>
      </c>
    </row>
    <row r="47" spans="1:4" ht="15">
      <c r="A47" s="808" t="s">
        <v>424</v>
      </c>
      <c r="B47" s="570"/>
      <c r="C47" s="946"/>
      <c r="D47" s="598"/>
    </row>
    <row r="48" spans="1:4" ht="15">
      <c r="A48" s="359" t="s">
        <v>601</v>
      </c>
      <c r="B48" s="365" t="s">
        <v>40</v>
      </c>
      <c r="C48" s="423">
        <v>2</v>
      </c>
      <c r="D48" s="532">
        <v>1464.12</v>
      </c>
    </row>
    <row r="49" spans="1:4" ht="15.75" thickBot="1">
      <c r="A49" s="807" t="s">
        <v>695</v>
      </c>
      <c r="B49" s="758"/>
      <c r="C49" s="809">
        <v>1</v>
      </c>
      <c r="D49" s="541">
        <v>516.23</v>
      </c>
    </row>
    <row r="50" spans="1:4" ht="15.75" thickBot="1">
      <c r="A50" s="806" t="s">
        <v>701</v>
      </c>
      <c r="B50" s="811"/>
      <c r="C50" s="812"/>
      <c r="D50" s="858">
        <v>1980.35</v>
      </c>
    </row>
    <row r="51" spans="1:4" ht="15">
      <c r="A51" s="808" t="s">
        <v>425</v>
      </c>
      <c r="B51" s="570"/>
      <c r="C51" s="946"/>
      <c r="D51" s="598"/>
    </row>
    <row r="52" spans="1:4" ht="15">
      <c r="A52" s="377" t="s">
        <v>479</v>
      </c>
      <c r="B52" s="570" t="s">
        <v>372</v>
      </c>
      <c r="C52" s="946">
        <v>4</v>
      </c>
      <c r="D52" s="598">
        <v>3200.17</v>
      </c>
    </row>
    <row r="53" spans="1:4" ht="15">
      <c r="A53" s="377" t="s">
        <v>962</v>
      </c>
      <c r="B53" s="570" t="s">
        <v>40</v>
      </c>
      <c r="C53" s="946">
        <v>2</v>
      </c>
      <c r="D53" s="598">
        <v>7774.88</v>
      </c>
    </row>
    <row r="54" spans="1:4" ht="15.75" thickBot="1">
      <c r="A54" s="799" t="s">
        <v>602</v>
      </c>
      <c r="B54" s="834"/>
      <c r="C54" s="1074">
        <v>6</v>
      </c>
      <c r="D54" s="835">
        <v>9965.28</v>
      </c>
    </row>
    <row r="55" spans="1:4" ht="15.75" thickBot="1">
      <c r="A55" s="806" t="s">
        <v>701</v>
      </c>
      <c r="B55" s="811"/>
      <c r="C55" s="812"/>
      <c r="D55" s="858">
        <v>20940.33</v>
      </c>
    </row>
    <row r="56" spans="1:4" ht="15">
      <c r="A56" s="808" t="s">
        <v>386</v>
      </c>
      <c r="B56" s="570"/>
      <c r="C56" s="946"/>
      <c r="D56" s="598"/>
    </row>
    <row r="57" spans="1:4" ht="15">
      <c r="A57" s="389" t="s">
        <v>605</v>
      </c>
      <c r="B57" s="746" t="s">
        <v>40</v>
      </c>
      <c r="C57" s="400">
        <v>3</v>
      </c>
      <c r="D57" s="393">
        <v>2092.02</v>
      </c>
    </row>
    <row r="58" spans="1:4" ht="15.75" thickBot="1">
      <c r="A58" s="807" t="s">
        <v>606</v>
      </c>
      <c r="B58" s="758" t="s">
        <v>40</v>
      </c>
      <c r="C58" s="439">
        <v>1</v>
      </c>
      <c r="D58" s="424">
        <v>188.75</v>
      </c>
    </row>
    <row r="59" spans="1:4" ht="15">
      <c r="A59" s="879" t="s">
        <v>901</v>
      </c>
      <c r="B59" s="849"/>
      <c r="C59" s="925"/>
      <c r="D59" s="941">
        <v>2280.77</v>
      </c>
    </row>
    <row r="60" spans="1:4" ht="15">
      <c r="A60" s="838"/>
      <c r="B60" s="365"/>
      <c r="C60" s="421"/>
      <c r="D60" s="428"/>
    </row>
    <row r="61" spans="1:4" ht="15">
      <c r="A61" s="838" t="s">
        <v>458</v>
      </c>
      <c r="B61" s="365"/>
      <c r="C61" s="421"/>
      <c r="D61" s="428">
        <v>109482.72</v>
      </c>
    </row>
    <row r="62" spans="1:4" ht="15">
      <c r="A62" s="359"/>
      <c r="B62" s="365"/>
      <c r="C62" s="421"/>
      <c r="D62" s="421"/>
    </row>
    <row r="63" spans="1:4" ht="15.75">
      <c r="A63" s="1149" t="s">
        <v>743</v>
      </c>
      <c r="B63" s="570"/>
      <c r="C63" s="1171"/>
      <c r="D63" s="1160">
        <v>11742.6</v>
      </c>
    </row>
    <row r="64" spans="1:4" ht="15">
      <c r="A64" s="465" t="s">
        <v>904</v>
      </c>
      <c r="B64" s="757"/>
      <c r="C64" s="427"/>
      <c r="D64" s="428">
        <v>9275</v>
      </c>
    </row>
    <row r="65" spans="1:4" ht="15">
      <c r="A65" s="955" t="s">
        <v>735</v>
      </c>
      <c r="B65" s="365"/>
      <c r="C65" s="679"/>
      <c r="D65" s="428">
        <v>60972.22</v>
      </c>
    </row>
    <row r="66" spans="1:4" ht="15.75" thickBot="1">
      <c r="A66" s="526"/>
      <c r="B66" s="758"/>
      <c r="C66" s="435"/>
      <c r="D66" s="541"/>
    </row>
    <row r="67" spans="1:4" ht="15.75" thickBot="1">
      <c r="A67" s="806" t="s">
        <v>918</v>
      </c>
      <c r="B67" s="811"/>
      <c r="C67" s="907"/>
      <c r="D67" s="858">
        <v>330140.3</v>
      </c>
    </row>
    <row r="68" spans="1:4" ht="15">
      <c r="A68" s="370"/>
      <c r="B68" s="370"/>
      <c r="C68" s="370"/>
      <c r="D68" s="371"/>
    </row>
    <row r="69" spans="1:4" ht="15">
      <c r="A69" s="370"/>
      <c r="B69" s="370"/>
      <c r="C69" s="370"/>
      <c r="D69" s="371"/>
    </row>
    <row r="70" spans="1:4" ht="15">
      <c r="A70" s="370"/>
      <c r="B70" s="370"/>
      <c r="C70" s="370"/>
      <c r="D70" s="371"/>
    </row>
    <row r="71" spans="1:4" ht="14.25">
      <c r="A71" s="764"/>
      <c r="B71" s="358"/>
      <c r="C71" s="359"/>
      <c r="D71" s="1262"/>
    </row>
    <row r="72" spans="1:4" ht="15">
      <c r="A72" s="1251" t="s">
        <v>568</v>
      </c>
      <c r="B72" s="1257"/>
      <c r="C72" s="467"/>
      <c r="D72" s="467">
        <v>0</v>
      </c>
    </row>
    <row r="73" spans="1:4" ht="15">
      <c r="A73" s="1332" t="s">
        <v>569</v>
      </c>
      <c r="B73" s="1332"/>
      <c r="C73" s="628"/>
      <c r="D73" s="608">
        <v>226665.42</v>
      </c>
    </row>
    <row r="74" spans="1:4" ht="15">
      <c r="A74" s="1332" t="s">
        <v>570</v>
      </c>
      <c r="B74" s="1332"/>
      <c r="C74" s="607"/>
      <c r="D74" s="608">
        <v>330140.3</v>
      </c>
    </row>
    <row r="75" spans="1:4" ht="15">
      <c r="A75" s="1333" t="s">
        <v>571</v>
      </c>
      <c r="B75" s="1333"/>
      <c r="C75" s="629"/>
      <c r="D75" s="629">
        <v>103474.88</v>
      </c>
    </row>
    <row r="76" spans="1:4" ht="15">
      <c r="A76" s="1332" t="s">
        <v>179</v>
      </c>
      <c r="B76" s="1332"/>
      <c r="C76" s="1258"/>
      <c r="D76" s="630">
        <v>103474.88</v>
      </c>
    </row>
    <row r="77" spans="1:4" ht="15">
      <c r="A77" s="538"/>
      <c r="B77" s="538"/>
      <c r="C77" s="1259"/>
      <c r="D77" s="1260"/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 t="s">
        <v>180</v>
      </c>
      <c r="B80" s="538"/>
      <c r="C80" s="1259" t="s">
        <v>573</v>
      </c>
      <c r="D80" s="1260"/>
    </row>
    <row r="81" spans="1:4" ht="15">
      <c r="A81" s="538"/>
      <c r="B81" s="538"/>
      <c r="C81" s="1259"/>
      <c r="D81" s="1260"/>
    </row>
    <row r="82" ht="12.75">
      <c r="A82" s="735" t="s">
        <v>357</v>
      </c>
    </row>
    <row r="83" ht="12.75">
      <c r="A83" s="735" t="s">
        <v>906</v>
      </c>
    </row>
    <row r="84" ht="12.75">
      <c r="A84" s="735" t="s">
        <v>358</v>
      </c>
    </row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73:B73"/>
    <mergeCell ref="A74:B74"/>
    <mergeCell ref="A75:B75"/>
    <mergeCell ref="A76:B76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2.574218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839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79052.81+21.5</f>
        <v>79074.31</v>
      </c>
      <c r="E11" s="25">
        <v>13913.82</v>
      </c>
    </row>
    <row r="12" spans="2:5" ht="16.5" thickBot="1">
      <c r="B12" s="1398" t="s">
        <v>646</v>
      </c>
      <c r="C12" s="1399"/>
      <c r="D12" s="89">
        <f>390027.95+240.96</f>
        <v>390268.91000000003</v>
      </c>
      <c r="E12" s="5">
        <v>21068.74</v>
      </c>
    </row>
    <row r="13" spans="2:5" ht="16.5" thickBot="1">
      <c r="B13" s="1398" t="s">
        <v>647</v>
      </c>
      <c r="C13" s="1399"/>
      <c r="D13" s="5">
        <f>390641.96+262.46</f>
        <v>390904.42000000004</v>
      </c>
      <c r="E13" s="5">
        <v>33128.89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22578.72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78438.79999999999</v>
      </c>
      <c r="E17" s="5">
        <f>E11+E12-E13</f>
        <v>1853.6699999999983</v>
      </c>
    </row>
    <row r="18" spans="2:5" ht="16.5" thickBot="1">
      <c r="B18" s="1398" t="s">
        <v>806</v>
      </c>
      <c r="C18" s="1399"/>
      <c r="D18" s="75">
        <f>E24+E47</f>
        <v>464360.0800000001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E25+E31+E33+E34+E35+E45</f>
        <v>318643.54000000004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173086.46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64492.61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62716.98</v>
      </c>
    </row>
    <row r="34" spans="2:5" ht="16.5" thickBot="1">
      <c r="B34" s="133" t="s">
        <v>799</v>
      </c>
      <c r="C34" s="119" t="s">
        <v>661</v>
      </c>
      <c r="D34" s="43"/>
      <c r="E34" s="230">
        <v>2392.59</v>
      </c>
    </row>
    <row r="35" spans="2:5" ht="16.5" thickBot="1">
      <c r="B35" s="67" t="s">
        <v>879</v>
      </c>
      <c r="C35" s="119" t="s">
        <v>661</v>
      </c>
      <c r="D35" s="43"/>
      <c r="E35" s="230">
        <f>11.41+2437.78</f>
        <v>2449.19</v>
      </c>
    </row>
    <row r="36" spans="2:5" ht="16.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78.75" hidden="1" thickBot="1">
      <c r="B39" s="36" t="s">
        <v>790</v>
      </c>
      <c r="C39" s="65" t="s">
        <v>661</v>
      </c>
      <c r="D39" s="44"/>
      <c r="E39" s="174"/>
    </row>
    <row r="40" spans="2:5" ht="48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39.75" hidden="1" thickBot="1">
      <c r="B43" s="67" t="s">
        <v>670</v>
      </c>
      <c r="C43" s="64" t="s">
        <v>684</v>
      </c>
      <c r="D43" s="46"/>
      <c r="E43" s="240"/>
    </row>
    <row r="44" spans="2:5" ht="48" hidden="1" thickBot="1">
      <c r="B44" s="68" t="s">
        <v>800</v>
      </c>
      <c r="C44" s="65" t="s">
        <v>661</v>
      </c>
      <c r="D44" s="44"/>
      <c r="E44" s="174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13505.71</v>
      </c>
    </row>
    <row r="46" spans="2:5" ht="32.25" hidden="1" thickBot="1">
      <c r="B46" s="70" t="s">
        <v>802</v>
      </c>
      <c r="C46" s="47"/>
      <c r="D46" s="44"/>
      <c r="E46" s="174"/>
    </row>
    <row r="47" spans="2:5" ht="20.25" thickBot="1">
      <c r="B47" s="14" t="s">
        <v>760</v>
      </c>
      <c r="C47" s="17"/>
      <c r="E47" s="263">
        <f>E59</f>
        <v>145716.54</v>
      </c>
    </row>
    <row r="48" spans="2:5" ht="15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">
      <c r="B49" s="217" t="s">
        <v>816</v>
      </c>
      <c r="C49" s="255" t="s">
        <v>661</v>
      </c>
      <c r="D49" s="222"/>
      <c r="E49" s="258">
        <v>28478.83</v>
      </c>
    </row>
    <row r="50" spans="2:5" ht="14.25">
      <c r="B50" s="188" t="s">
        <v>928</v>
      </c>
      <c r="C50" s="74" t="s">
        <v>661</v>
      </c>
      <c r="D50" s="153"/>
      <c r="E50" s="177">
        <f>221.8+61.95+5714.71+11247.53+199.98</f>
        <v>17445.97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336.36+14757.92</f>
        <v>15094.28</v>
      </c>
    </row>
    <row r="53" spans="2:5" ht="14.25">
      <c r="B53" s="157" t="s">
        <v>880</v>
      </c>
      <c r="C53" s="74" t="s">
        <v>661</v>
      </c>
      <c r="D53" s="153"/>
      <c r="E53" s="259">
        <v>9248.81</v>
      </c>
    </row>
    <row r="54" spans="2:5" ht="14.25">
      <c r="B54" s="157" t="s">
        <v>925</v>
      </c>
      <c r="C54" s="74" t="s">
        <v>661</v>
      </c>
      <c r="D54" s="153"/>
      <c r="E54" s="180">
        <f>48938.35+3186.02</f>
        <v>52124.369999999995</v>
      </c>
    </row>
    <row r="55" spans="2:5" ht="15">
      <c r="B55" s="151" t="s">
        <v>1025</v>
      </c>
      <c r="C55" s="118"/>
      <c r="D55" s="153"/>
      <c r="E55" s="191"/>
    </row>
    <row r="56" spans="2:5" ht="14.25">
      <c r="B56" s="159" t="s">
        <v>998</v>
      </c>
      <c r="C56" s="74" t="s">
        <v>661</v>
      </c>
      <c r="D56" s="153"/>
      <c r="E56" s="192">
        <f>20570.03+1856.34</f>
        <v>22426.37</v>
      </c>
    </row>
    <row r="57" spans="2:5" ht="14.25">
      <c r="B57" s="159" t="s">
        <v>929</v>
      </c>
      <c r="C57" s="74" t="s">
        <v>661</v>
      </c>
      <c r="D57" s="13"/>
      <c r="E57" s="85">
        <v>897.91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E49+E50+E52+E53+E54+E56+E57</f>
        <v>145716.54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1"/>
      <c r="C64" s="11"/>
      <c r="D64" s="11"/>
      <c r="E64" s="207"/>
    </row>
    <row r="65" spans="2:5" ht="15.75">
      <c r="B65" s="6" t="s">
        <v>830</v>
      </c>
      <c r="C65" s="6" t="s">
        <v>889</v>
      </c>
      <c r="E65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99CC"/>
  </sheetPr>
  <dimension ref="A3:D97"/>
  <sheetViews>
    <sheetView zoomScalePageLayoutView="0" workbookViewId="0" topLeftCell="A10">
      <selection activeCell="H25" sqref="H25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7" max="7" width="8.00390625" style="0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803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305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0">
        <v>79003.63</v>
      </c>
      <c r="D13" s="1371"/>
    </row>
    <row r="14" spans="1:4" ht="15">
      <c r="A14" s="471" t="s">
        <v>486</v>
      </c>
      <c r="B14" s="473"/>
      <c r="C14" s="1316">
        <v>381033.72</v>
      </c>
      <c r="D14" s="1317"/>
    </row>
    <row r="15" spans="1:4" ht="15">
      <c r="A15" s="470" t="s">
        <v>647</v>
      </c>
      <c r="B15" s="474"/>
      <c r="C15" s="1338">
        <v>354137.49</v>
      </c>
      <c r="D15" s="1339"/>
    </row>
    <row r="16" spans="1:4" ht="15">
      <c r="A16" s="475" t="s">
        <v>348</v>
      </c>
      <c r="B16" s="476"/>
      <c r="C16" s="1318">
        <f>C13+C14-C15</f>
        <v>105899.85999999999</v>
      </c>
      <c r="D16" s="1319"/>
    </row>
    <row r="17" spans="1:4" ht="14.25">
      <c r="A17" s="470" t="s">
        <v>498</v>
      </c>
      <c r="B17" s="474"/>
      <c r="C17" s="1334">
        <v>754792.77</v>
      </c>
      <c r="D17" s="1335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80496.97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47161.79</v>
      </c>
    </row>
    <row r="27" spans="1:4" ht="24.75">
      <c r="A27" s="546" t="s">
        <v>14</v>
      </c>
      <c r="B27" s="397" t="s">
        <v>657</v>
      </c>
      <c r="C27" s="506"/>
      <c r="D27" s="507">
        <v>58959.34</v>
      </c>
    </row>
    <row r="28" spans="1:4" ht="29.25">
      <c r="A28" s="492" t="s">
        <v>608</v>
      </c>
      <c r="B28" s="399"/>
      <c r="C28" s="508"/>
      <c r="D28" s="509">
        <v>4371.26</v>
      </c>
    </row>
    <row r="29" spans="1:4" ht="15">
      <c r="A29" s="492" t="s">
        <v>931</v>
      </c>
      <c r="B29" s="397" t="s">
        <v>661</v>
      </c>
      <c r="C29" s="506"/>
      <c r="D29" s="507">
        <v>144</v>
      </c>
    </row>
    <row r="30" spans="1:4" ht="15.75" thickBot="1">
      <c r="A30" s="390" t="s">
        <v>799</v>
      </c>
      <c r="B30" s="1103"/>
      <c r="C30" s="1173"/>
      <c r="D30" s="595">
        <v>7695.59</v>
      </c>
    </row>
    <row r="31" spans="1:4" ht="15.75" thickBot="1">
      <c r="A31" s="805" t="s">
        <v>901</v>
      </c>
      <c r="B31" s="980"/>
      <c r="C31" s="981"/>
      <c r="D31" s="839">
        <v>198828.95</v>
      </c>
    </row>
    <row r="32" spans="1:4" ht="15.75" thickBot="1">
      <c r="A32" s="487" t="s">
        <v>607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83" t="s">
        <v>697</v>
      </c>
      <c r="B34" s="382"/>
      <c r="C34" s="441">
        <v>2</v>
      </c>
      <c r="D34" s="441">
        <v>1659.93</v>
      </c>
    </row>
    <row r="35" spans="1:4" ht="15">
      <c r="A35" s="385" t="s">
        <v>109</v>
      </c>
      <c r="B35" s="358" t="s">
        <v>40</v>
      </c>
      <c r="C35" s="441">
        <v>4</v>
      </c>
      <c r="D35" s="598">
        <v>3094.7</v>
      </c>
    </row>
    <row r="36" spans="1:4" ht="15.75">
      <c r="A36" s="488" t="s">
        <v>323</v>
      </c>
      <c r="B36" s="382"/>
      <c r="C36" s="720">
        <v>4</v>
      </c>
      <c r="D36" s="421">
        <v>2695.51</v>
      </c>
    </row>
    <row r="37" spans="1:4" ht="15">
      <c r="A37" s="359" t="s">
        <v>896</v>
      </c>
      <c r="B37" s="721" t="s">
        <v>40</v>
      </c>
      <c r="C37" s="423">
        <v>1</v>
      </c>
      <c r="D37" s="422">
        <v>1953.44</v>
      </c>
    </row>
    <row r="38" spans="1:4" ht="15">
      <c r="A38" s="389" t="s">
        <v>591</v>
      </c>
      <c r="B38" s="746" t="s">
        <v>817</v>
      </c>
      <c r="C38" s="491">
        <v>2</v>
      </c>
      <c r="D38" s="402">
        <v>38919.02</v>
      </c>
    </row>
    <row r="39" spans="1:4" ht="15">
      <c r="A39" s="492" t="s">
        <v>389</v>
      </c>
      <c r="B39" s="746" t="s">
        <v>40</v>
      </c>
      <c r="C39" s="491">
        <v>1</v>
      </c>
      <c r="D39" s="402">
        <v>91964</v>
      </c>
    </row>
    <row r="40" spans="1:4" ht="15">
      <c r="A40" s="492" t="s">
        <v>1013</v>
      </c>
      <c r="B40" s="746"/>
      <c r="C40" s="491">
        <v>2</v>
      </c>
      <c r="D40" s="402">
        <v>70981.31</v>
      </c>
    </row>
    <row r="41" spans="1:4" ht="15.75" thickBot="1">
      <c r="A41" s="519" t="s">
        <v>697</v>
      </c>
      <c r="B41" s="381" t="s">
        <v>661</v>
      </c>
      <c r="C41" s="439">
        <v>4</v>
      </c>
      <c r="D41" s="439">
        <v>6840.62</v>
      </c>
    </row>
    <row r="42" spans="1:4" ht="15.75" thickBot="1">
      <c r="A42" s="806" t="s">
        <v>901</v>
      </c>
      <c r="B42" s="802"/>
      <c r="C42" s="803"/>
      <c r="D42" s="863">
        <v>218108.53</v>
      </c>
    </row>
    <row r="43" spans="1:4" ht="15">
      <c r="A43" s="808" t="s">
        <v>445</v>
      </c>
      <c r="B43" s="376"/>
      <c r="C43" s="441"/>
      <c r="D43" s="441"/>
    </row>
    <row r="44" spans="1:4" ht="15">
      <c r="A44" s="377" t="s">
        <v>324</v>
      </c>
      <c r="B44" s="376" t="s">
        <v>211</v>
      </c>
      <c r="C44" s="441">
        <v>5</v>
      </c>
      <c r="D44" s="801">
        <v>12277.7</v>
      </c>
    </row>
    <row r="45" spans="1:4" ht="15">
      <c r="A45" s="377" t="s">
        <v>966</v>
      </c>
      <c r="B45" s="376"/>
      <c r="C45" s="441">
        <v>1</v>
      </c>
      <c r="D45" s="801">
        <v>26603</v>
      </c>
    </row>
    <row r="46" spans="1:4" ht="15">
      <c r="A46" s="377" t="s">
        <v>239</v>
      </c>
      <c r="B46" s="376" t="s">
        <v>40</v>
      </c>
      <c r="C46" s="441">
        <v>5</v>
      </c>
      <c r="D46" s="801">
        <v>7841.92</v>
      </c>
    </row>
    <row r="47" spans="1:4" ht="15">
      <c r="A47" s="377" t="s">
        <v>609</v>
      </c>
      <c r="B47" s="376" t="s">
        <v>40</v>
      </c>
      <c r="C47" s="441">
        <v>5</v>
      </c>
      <c r="D47" s="801">
        <v>1860.77</v>
      </c>
    </row>
    <row r="48" spans="1:4" ht="15.75" thickBot="1">
      <c r="A48" s="799" t="s">
        <v>393</v>
      </c>
      <c r="B48" s="1175"/>
      <c r="C48" s="836">
        <v>9</v>
      </c>
      <c r="D48" s="896">
        <v>7614.41</v>
      </c>
    </row>
    <row r="49" spans="1:4" ht="15.75" thickBot="1">
      <c r="A49" s="806" t="s">
        <v>901</v>
      </c>
      <c r="B49" s="1176"/>
      <c r="C49" s="803"/>
      <c r="D49" s="841">
        <v>56197.8</v>
      </c>
    </row>
    <row r="50" spans="1:4" ht="15">
      <c r="A50" s="808" t="s">
        <v>780</v>
      </c>
      <c r="B50" s="376"/>
      <c r="C50" s="441"/>
      <c r="D50" s="801"/>
    </row>
    <row r="51" spans="1:4" ht="15">
      <c r="A51" s="377" t="s">
        <v>303</v>
      </c>
      <c r="B51" s="376" t="s">
        <v>40</v>
      </c>
      <c r="C51" s="441">
        <v>1</v>
      </c>
      <c r="D51" s="801">
        <v>444.83</v>
      </c>
    </row>
    <row r="52" spans="1:4" ht="15">
      <c r="A52" s="377" t="s">
        <v>582</v>
      </c>
      <c r="B52" s="376"/>
      <c r="C52" s="441">
        <v>3</v>
      </c>
      <c r="D52" s="801">
        <v>838.55</v>
      </c>
    </row>
    <row r="53" spans="1:4" ht="15">
      <c r="A53" s="377" t="s">
        <v>235</v>
      </c>
      <c r="B53" s="376" t="s">
        <v>211</v>
      </c>
      <c r="C53" s="441">
        <v>1</v>
      </c>
      <c r="D53" s="801">
        <v>3662.17</v>
      </c>
    </row>
    <row r="54" spans="1:4" ht="15">
      <c r="A54" s="377" t="s">
        <v>78</v>
      </c>
      <c r="B54" s="376" t="s">
        <v>40</v>
      </c>
      <c r="C54" s="441">
        <v>2</v>
      </c>
      <c r="D54" s="801">
        <v>15890.82</v>
      </c>
    </row>
    <row r="55" spans="1:4" ht="15.75" thickBot="1">
      <c r="A55" s="799" t="s">
        <v>423</v>
      </c>
      <c r="B55" s="1175" t="s">
        <v>40</v>
      </c>
      <c r="C55" s="836">
        <v>1</v>
      </c>
      <c r="D55" s="896">
        <v>700.67</v>
      </c>
    </row>
    <row r="56" spans="1:4" ht="15.75" thickBot="1">
      <c r="A56" s="806" t="s">
        <v>901</v>
      </c>
      <c r="B56" s="1176"/>
      <c r="C56" s="803"/>
      <c r="D56" s="841">
        <v>21537.04</v>
      </c>
    </row>
    <row r="57" spans="1:4" ht="15">
      <c r="A57" s="808" t="s">
        <v>424</v>
      </c>
      <c r="B57" s="376"/>
      <c r="C57" s="441"/>
      <c r="D57" s="801"/>
    </row>
    <row r="58" spans="1:4" ht="15.75" thickBot="1">
      <c r="A58" s="799" t="s">
        <v>411</v>
      </c>
      <c r="B58" s="1175" t="s">
        <v>40</v>
      </c>
      <c r="C58" s="836">
        <v>1</v>
      </c>
      <c r="D58" s="896">
        <v>566.17</v>
      </c>
    </row>
    <row r="59" spans="1:4" ht="15.75" thickBot="1">
      <c r="A59" s="806" t="s">
        <v>901</v>
      </c>
      <c r="B59" s="1176"/>
      <c r="C59" s="803"/>
      <c r="D59" s="841">
        <v>566.17</v>
      </c>
    </row>
    <row r="60" spans="1:4" ht="15">
      <c r="A60" s="808" t="s">
        <v>425</v>
      </c>
      <c r="B60" s="376"/>
      <c r="C60" s="441"/>
      <c r="D60" s="801"/>
    </row>
    <row r="61" spans="1:4" ht="15">
      <c r="A61" s="377" t="s">
        <v>479</v>
      </c>
      <c r="B61" s="376" t="s">
        <v>52</v>
      </c>
      <c r="C61" s="441">
        <v>11</v>
      </c>
      <c r="D61" s="801">
        <v>9032.44</v>
      </c>
    </row>
    <row r="62" spans="1:4" ht="15">
      <c r="A62" s="177" t="s">
        <v>1020</v>
      </c>
      <c r="B62" s="320" t="s">
        <v>40</v>
      </c>
      <c r="C62" s="421">
        <v>2</v>
      </c>
      <c r="D62" s="422">
        <v>7570.76</v>
      </c>
    </row>
    <row r="63" spans="1:4" ht="15">
      <c r="A63" s="359" t="s">
        <v>882</v>
      </c>
      <c r="B63" s="361" t="s">
        <v>40</v>
      </c>
      <c r="C63" s="423">
        <v>6</v>
      </c>
      <c r="D63" s="555">
        <v>18820.42</v>
      </c>
    </row>
    <row r="64" spans="1:4" ht="15">
      <c r="A64" s="359" t="s">
        <v>610</v>
      </c>
      <c r="B64" s="358" t="s">
        <v>81</v>
      </c>
      <c r="C64" s="423">
        <v>2</v>
      </c>
      <c r="D64" s="422">
        <v>4972.53</v>
      </c>
    </row>
    <row r="65" spans="1:4" ht="15">
      <c r="A65" s="359" t="s">
        <v>82</v>
      </c>
      <c r="B65" s="358" t="s">
        <v>611</v>
      </c>
      <c r="C65" s="421">
        <v>1</v>
      </c>
      <c r="D65" s="555">
        <v>2510.42</v>
      </c>
    </row>
    <row r="66" spans="1:4" ht="15.75" thickBot="1">
      <c r="A66" s="807" t="s">
        <v>612</v>
      </c>
      <c r="B66" s="978" t="s">
        <v>613</v>
      </c>
      <c r="C66" s="616">
        <v>1</v>
      </c>
      <c r="D66" s="439">
        <v>134.83</v>
      </c>
    </row>
    <row r="67" spans="1:4" ht="15.75" thickBot="1">
      <c r="A67" s="806" t="s">
        <v>901</v>
      </c>
      <c r="B67" s="957"/>
      <c r="C67" s="803"/>
      <c r="D67" s="841">
        <v>43041.4</v>
      </c>
    </row>
    <row r="68" spans="1:4" ht="15">
      <c r="A68" s="808" t="s">
        <v>386</v>
      </c>
      <c r="B68" s="760"/>
      <c r="C68" s="441"/>
      <c r="D68" s="598"/>
    </row>
    <row r="69" spans="1:4" ht="15">
      <c r="A69" s="359" t="s">
        <v>886</v>
      </c>
      <c r="B69" s="364" t="s">
        <v>40</v>
      </c>
      <c r="C69" s="421">
        <v>8</v>
      </c>
      <c r="D69" s="532">
        <v>6154.88</v>
      </c>
    </row>
    <row r="70" spans="1:4" ht="15">
      <c r="A70" s="359" t="s">
        <v>415</v>
      </c>
      <c r="B70" s="364" t="s">
        <v>52</v>
      </c>
      <c r="C70" s="421">
        <v>2</v>
      </c>
      <c r="D70" s="532">
        <v>879.3</v>
      </c>
    </row>
    <row r="71" spans="1:4" ht="15.75" thickBot="1">
      <c r="A71" s="390" t="s">
        <v>692</v>
      </c>
      <c r="B71" s="748"/>
      <c r="C71" s="617">
        <v>5</v>
      </c>
      <c r="D71" s="618">
        <v>4894.23</v>
      </c>
    </row>
    <row r="72" spans="1:4" ht="15.75" thickBot="1">
      <c r="A72" s="806" t="s">
        <v>901</v>
      </c>
      <c r="B72" s="1018"/>
      <c r="C72" s="803"/>
      <c r="D72" s="841">
        <v>11928.41</v>
      </c>
    </row>
    <row r="73" spans="1:4" ht="15.75" thickBot="1">
      <c r="A73" s="799"/>
      <c r="B73" s="1166"/>
      <c r="C73" s="836"/>
      <c r="D73" s="896"/>
    </row>
    <row r="74" spans="1:4" ht="15.75" thickBot="1">
      <c r="A74" s="806" t="s">
        <v>375</v>
      </c>
      <c r="B74" s="1018"/>
      <c r="C74" s="803"/>
      <c r="D74" s="841">
        <v>351379.35</v>
      </c>
    </row>
    <row r="75" spans="1:4" ht="15">
      <c r="A75" s="377"/>
      <c r="B75" s="382"/>
      <c r="C75" s="441"/>
      <c r="D75" s="810"/>
    </row>
    <row r="76" spans="1:4" ht="15">
      <c r="A76" s="944" t="s">
        <v>743</v>
      </c>
      <c r="B76" s="358"/>
      <c r="C76" s="431"/>
      <c r="D76" s="891">
        <v>17463.69</v>
      </c>
    </row>
    <row r="77" spans="1:4" ht="15">
      <c r="A77" s="944" t="s">
        <v>904</v>
      </c>
      <c r="B77" s="358"/>
      <c r="C77" s="431"/>
      <c r="D77" s="891">
        <v>47721.28</v>
      </c>
    </row>
    <row r="78" spans="1:4" ht="15.75" thickBot="1">
      <c r="A78" s="902" t="s">
        <v>775</v>
      </c>
      <c r="B78" s="1174"/>
      <c r="C78" s="846"/>
      <c r="D78" s="905">
        <v>139399.5</v>
      </c>
    </row>
    <row r="79" spans="1:4" ht="15.75" thickBot="1">
      <c r="A79" s="806" t="s">
        <v>918</v>
      </c>
      <c r="B79" s="957"/>
      <c r="C79" s="907"/>
      <c r="D79" s="858">
        <v>754792.77</v>
      </c>
    </row>
    <row r="80" spans="1:4" ht="15">
      <c r="A80" s="370"/>
      <c r="B80" s="370"/>
      <c r="C80" s="370"/>
      <c r="D80" s="371"/>
    </row>
    <row r="81" spans="1:4" ht="15">
      <c r="A81" s="370"/>
      <c r="B81" s="370"/>
      <c r="C81" s="370"/>
      <c r="D81" s="371"/>
    </row>
    <row r="82" spans="1:4" ht="15">
      <c r="A82" s="370"/>
      <c r="B82" s="370"/>
      <c r="C82" s="370"/>
      <c r="D82" s="371"/>
    </row>
    <row r="83" spans="1:4" ht="15">
      <c r="A83" s="370"/>
      <c r="B83" s="370"/>
      <c r="C83" s="370"/>
      <c r="D83" s="371"/>
    </row>
    <row r="84" spans="1:4" ht="14.25">
      <c r="A84" s="764"/>
      <c r="B84" s="358"/>
      <c r="C84" s="359"/>
      <c r="D84" s="1262"/>
    </row>
    <row r="85" spans="1:4" ht="15">
      <c r="A85" s="1251" t="s">
        <v>568</v>
      </c>
      <c r="B85" s="1257"/>
      <c r="C85" s="467"/>
      <c r="D85" s="467">
        <v>0</v>
      </c>
    </row>
    <row r="86" spans="1:4" ht="15">
      <c r="A86" s="1332" t="s">
        <v>569</v>
      </c>
      <c r="B86" s="1332"/>
      <c r="C86" s="628"/>
      <c r="D86" s="608">
        <v>354137.49</v>
      </c>
    </row>
    <row r="87" spans="1:4" ht="15">
      <c r="A87" s="1332" t="s">
        <v>570</v>
      </c>
      <c r="B87" s="1332"/>
      <c r="C87" s="607"/>
      <c r="D87" s="608">
        <v>754792.77</v>
      </c>
    </row>
    <row r="88" spans="1:4" ht="15">
      <c r="A88" s="1333" t="s">
        <v>571</v>
      </c>
      <c r="B88" s="1333"/>
      <c r="C88" s="629"/>
      <c r="D88" s="629">
        <v>400655.28</v>
      </c>
    </row>
    <row r="89" spans="1:4" ht="15">
      <c r="A89" s="1332" t="s">
        <v>179</v>
      </c>
      <c r="B89" s="1332"/>
      <c r="C89" s="1258"/>
      <c r="D89" s="630">
        <v>400655.28</v>
      </c>
    </row>
    <row r="90" spans="1:4" ht="15">
      <c r="A90" s="538"/>
      <c r="B90" s="538"/>
      <c r="C90" s="1259"/>
      <c r="D90" s="1260"/>
    </row>
    <row r="91" spans="1:4" ht="15">
      <c r="A91" s="538"/>
      <c r="B91" s="538"/>
      <c r="C91" s="1259"/>
      <c r="D91" s="1260"/>
    </row>
    <row r="92" spans="1:4" ht="15">
      <c r="A92" s="538"/>
      <c r="B92" s="538"/>
      <c r="C92" s="1259"/>
      <c r="D92" s="1260"/>
    </row>
    <row r="93" spans="1:4" ht="15">
      <c r="A93" s="538" t="s">
        <v>180</v>
      </c>
      <c r="B93" s="538"/>
      <c r="C93" s="1259" t="s">
        <v>573</v>
      </c>
      <c r="D93" s="1260"/>
    </row>
    <row r="94" spans="1:4" ht="15">
      <c r="A94" s="538"/>
      <c r="B94" s="538"/>
      <c r="C94" s="1259"/>
      <c r="D94" s="1260"/>
    </row>
    <row r="95" ht="12.75">
      <c r="A95" s="735" t="s">
        <v>357</v>
      </c>
    </row>
    <row r="96" ht="12.75">
      <c r="A96" s="735" t="s">
        <v>906</v>
      </c>
    </row>
    <row r="97" ht="12.75">
      <c r="A97" s="735" t="s">
        <v>358</v>
      </c>
    </row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86:B86"/>
    <mergeCell ref="A87:B87"/>
    <mergeCell ref="A88:B88"/>
    <mergeCell ref="A89:B89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6.0039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844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96009.64+294</f>
        <v>96303.64</v>
      </c>
      <c r="E11" s="25">
        <v>21493.58</v>
      </c>
    </row>
    <row r="12" spans="2:5" ht="16.5" thickBot="1">
      <c r="B12" s="1398" t="s">
        <v>646</v>
      </c>
      <c r="C12" s="1399"/>
      <c r="D12" s="89">
        <f>562972.9+803.2</f>
        <v>563776.1</v>
      </c>
      <c r="E12" s="5">
        <v>124548.57</v>
      </c>
    </row>
    <row r="13" spans="2:5" ht="16.5" thickBot="1">
      <c r="B13" s="1398" t="s">
        <v>647</v>
      </c>
      <c r="C13" s="1399"/>
      <c r="D13" s="5">
        <f>535349.94+806.04</f>
        <v>536155.98</v>
      </c>
      <c r="E13" s="5">
        <v>118023.82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8755.56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123923.76000000001</v>
      </c>
      <c r="E17" s="5">
        <f>E11+E12-E13</f>
        <v>28018.330000000016</v>
      </c>
    </row>
    <row r="18" spans="2:5" ht="16.5" thickBot="1">
      <c r="B18" s="1398" t="s">
        <v>806</v>
      </c>
      <c r="C18" s="1399"/>
      <c r="D18" s="75">
        <f>E24+E45</f>
        <v>590435.75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E25+E31+E33+E43</f>
        <v>368270.43000000005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172855.27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92911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83295.38</v>
      </c>
    </row>
    <row r="34" spans="2:5" ht="16.5" hidden="1" thickBot="1">
      <c r="B34" s="68" t="s">
        <v>758</v>
      </c>
      <c r="C34" s="64" t="s">
        <v>665</v>
      </c>
      <c r="D34" s="43"/>
      <c r="E34" s="238"/>
    </row>
    <row r="35" spans="2:5" ht="32.25" hidden="1" thickBot="1">
      <c r="B35" s="67" t="s">
        <v>664</v>
      </c>
      <c r="C35" s="65" t="s">
        <v>661</v>
      </c>
      <c r="D35" s="44"/>
      <c r="E35" s="174"/>
    </row>
    <row r="36" spans="2:5" ht="32.25" hidden="1" thickBot="1">
      <c r="B36" s="67" t="s">
        <v>671</v>
      </c>
      <c r="C36" s="65" t="s">
        <v>661</v>
      </c>
      <c r="D36" s="72"/>
      <c r="E36" s="239"/>
    </row>
    <row r="37" spans="2:5" ht="78.75" hidden="1" thickBot="1">
      <c r="B37" s="36" t="s">
        <v>790</v>
      </c>
      <c r="C37" s="65" t="s">
        <v>661</v>
      </c>
      <c r="D37" s="44"/>
      <c r="E37" s="174"/>
    </row>
    <row r="38" spans="2:5" ht="48" hidden="1" thickBot="1">
      <c r="B38" s="67" t="s">
        <v>767</v>
      </c>
      <c r="C38" s="64" t="s">
        <v>766</v>
      </c>
      <c r="D38" s="43"/>
      <c r="E38" s="238"/>
    </row>
    <row r="39" spans="2:5" ht="32.25" hidden="1" thickBot="1">
      <c r="B39" s="67" t="s">
        <v>668</v>
      </c>
      <c r="C39" s="65" t="s">
        <v>661</v>
      </c>
      <c r="D39" s="44"/>
      <c r="E39" s="174"/>
    </row>
    <row r="40" spans="2:5" ht="16.5" hidden="1" thickBot="1">
      <c r="B40" s="67" t="s">
        <v>799</v>
      </c>
      <c r="C40" s="65" t="s">
        <v>661</v>
      </c>
      <c r="D40" s="44"/>
      <c r="E40" s="174"/>
    </row>
    <row r="41" spans="2:5" ht="39.75" hidden="1" thickBot="1">
      <c r="B41" s="67" t="s">
        <v>670</v>
      </c>
      <c r="C41" s="64" t="s">
        <v>684</v>
      </c>
      <c r="D41" s="46"/>
      <c r="E41" s="240"/>
    </row>
    <row r="42" spans="2:5" ht="48" hidden="1" thickBot="1">
      <c r="B42" s="68" t="s">
        <v>800</v>
      </c>
      <c r="C42" s="65" t="s">
        <v>661</v>
      </c>
      <c r="D42" s="44"/>
      <c r="E42" s="174"/>
    </row>
    <row r="43" spans="2:5" ht="16.5" thickBot="1">
      <c r="B43" s="69" t="s">
        <v>685</v>
      </c>
      <c r="C43" s="212" t="s">
        <v>817</v>
      </c>
      <c r="D43" s="43" t="s">
        <v>801</v>
      </c>
      <c r="E43" s="231">
        <v>19208.78</v>
      </c>
    </row>
    <row r="44" spans="2:5" ht="32.25" hidden="1" thickBot="1">
      <c r="B44" s="70" t="s">
        <v>802</v>
      </c>
      <c r="C44" s="47"/>
      <c r="D44" s="44"/>
      <c r="E44" s="174"/>
    </row>
    <row r="45" spans="2:5" ht="20.25" thickBot="1">
      <c r="B45" s="14" t="s">
        <v>760</v>
      </c>
      <c r="C45" s="17"/>
      <c r="E45" s="263">
        <f>E58</f>
        <v>222165.32</v>
      </c>
    </row>
    <row r="46" spans="2:5" ht="15.75" thickBot="1">
      <c r="B46" s="150" t="s">
        <v>672</v>
      </c>
      <c r="C46" s="15" t="s">
        <v>920</v>
      </c>
      <c r="D46" s="49" t="s">
        <v>673</v>
      </c>
      <c r="E46" s="176" t="s">
        <v>793</v>
      </c>
    </row>
    <row r="47" spans="2:5" ht="15">
      <c r="B47" s="217" t="s">
        <v>816</v>
      </c>
      <c r="C47" s="255" t="s">
        <v>661</v>
      </c>
      <c r="D47" s="222"/>
      <c r="E47" s="258">
        <v>1450.24</v>
      </c>
    </row>
    <row r="48" spans="2:5" ht="14.25">
      <c r="B48" s="188" t="s">
        <v>928</v>
      </c>
      <c r="C48" s="74" t="s">
        <v>661</v>
      </c>
      <c r="D48" s="153"/>
      <c r="E48" s="177">
        <f>2870.74+444.33</f>
        <v>3315.0699999999997</v>
      </c>
    </row>
    <row r="49" spans="2:5" ht="14.25">
      <c r="B49" s="188" t="s">
        <v>1000</v>
      </c>
      <c r="C49" s="74" t="s">
        <v>661</v>
      </c>
      <c r="D49" s="153"/>
      <c r="E49" s="177">
        <v>65362</v>
      </c>
    </row>
    <row r="50" spans="2:5" ht="14.25">
      <c r="B50" s="151" t="s">
        <v>676</v>
      </c>
      <c r="C50" s="116"/>
      <c r="D50" s="153"/>
      <c r="E50" s="177"/>
    </row>
    <row r="51" spans="2:5" ht="14.25">
      <c r="B51" s="132" t="s">
        <v>883</v>
      </c>
      <c r="C51" s="74" t="s">
        <v>661</v>
      </c>
      <c r="D51" s="153"/>
      <c r="E51" s="179">
        <f>2189.77+64069.03+9191.76</f>
        <v>75450.56</v>
      </c>
    </row>
    <row r="52" spans="2:5" ht="14.25">
      <c r="B52" s="157" t="s">
        <v>880</v>
      </c>
      <c r="C52" s="74" t="s">
        <v>661</v>
      </c>
      <c r="D52" s="153"/>
      <c r="E52" s="259">
        <v>7958.16</v>
      </c>
    </row>
    <row r="53" spans="2:5" ht="14.25">
      <c r="B53" s="157" t="s">
        <v>925</v>
      </c>
      <c r="C53" s="74" t="s">
        <v>661</v>
      </c>
      <c r="D53" s="153"/>
      <c r="E53" s="180">
        <f>36643.33</f>
        <v>36643.33</v>
      </c>
    </row>
    <row r="54" spans="2:5" ht="15">
      <c r="B54" s="151" t="s">
        <v>1025</v>
      </c>
      <c r="C54" s="118"/>
      <c r="D54" s="153"/>
      <c r="E54" s="191"/>
    </row>
    <row r="55" spans="2:5" ht="14.25">
      <c r="B55" s="159" t="s">
        <v>998</v>
      </c>
      <c r="C55" s="74" t="s">
        <v>661</v>
      </c>
      <c r="D55" s="153"/>
      <c r="E55" s="192">
        <f>28719.38+1989.51</f>
        <v>30708.89</v>
      </c>
    </row>
    <row r="56" spans="2:5" ht="14.25">
      <c r="B56" s="159" t="s">
        <v>929</v>
      </c>
      <c r="C56" s="74" t="s">
        <v>661</v>
      </c>
      <c r="D56" s="13"/>
      <c r="E56" s="85">
        <v>1277.07</v>
      </c>
    </row>
    <row r="57" spans="2:5" ht="12.75" hidden="1">
      <c r="B57" s="13"/>
      <c r="C57" s="13"/>
      <c r="D57" s="13"/>
      <c r="E57" s="85"/>
    </row>
    <row r="58" spans="2:5" ht="12.75" hidden="1">
      <c r="B58" s="117" t="s">
        <v>1014</v>
      </c>
      <c r="C58" s="13"/>
      <c r="D58" s="13"/>
      <c r="E58" s="256">
        <f>E47+E48+E49+E51+E52+E53+E55+E56</f>
        <v>222165.32</v>
      </c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1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99CC"/>
  </sheetPr>
  <dimension ref="A3:D93"/>
  <sheetViews>
    <sheetView zoomScalePageLayoutView="0" workbookViewId="0" topLeftCell="A8">
      <selection activeCell="D20" sqref="D20"/>
    </sheetView>
  </sheetViews>
  <sheetFormatPr defaultColWidth="9.140625" defaultRowHeight="12.75"/>
  <cols>
    <col min="1" max="1" width="63.7109375" style="1" customWidth="1"/>
    <col min="2" max="2" width="9.140625" style="1" customWidth="1"/>
    <col min="3" max="3" width="17.140625" style="1" customWidth="1"/>
    <col min="4" max="4" width="13.00390625" style="1" customWidth="1"/>
    <col min="5" max="5" width="0" style="0" hidden="1" customWidth="1"/>
    <col min="6" max="6" width="9.57421875" style="0" hidden="1" customWidth="1"/>
  </cols>
  <sheetData>
    <row r="3" spans="1:4" ht="22.5">
      <c r="A3" s="1331" t="s">
        <v>687</v>
      </c>
      <c r="B3" s="1331"/>
      <c r="C3" s="1382" t="s">
        <v>1010</v>
      </c>
      <c r="D3" s="1382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804</v>
      </c>
      <c r="B6" s="1363"/>
      <c r="C6" s="91"/>
      <c r="D6" s="718"/>
    </row>
    <row r="7" spans="1:4" ht="18.75">
      <c r="A7" s="26"/>
      <c r="B7" s="26"/>
      <c r="C7"/>
      <c r="D7" s="718"/>
    </row>
    <row r="8" spans="1:4" ht="15">
      <c r="A8" s="1343" t="s">
        <v>306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442"/>
      <c r="B10" s="1320" t="s">
        <v>643</v>
      </c>
      <c r="C10" s="1367"/>
      <c r="D10" s="718"/>
    </row>
    <row r="11" spans="1:4" ht="12.75">
      <c r="A11" s="558" t="s">
        <v>642</v>
      </c>
      <c r="B11" s="1405" t="s">
        <v>1022</v>
      </c>
      <c r="C11" s="1409"/>
      <c r="D11" s="373"/>
    </row>
    <row r="12" spans="1:4" ht="12.75">
      <c r="A12" s="558"/>
      <c r="B12" s="1405" t="s">
        <v>562</v>
      </c>
      <c r="C12" s="1409"/>
      <c r="D12" s="373"/>
    </row>
    <row r="13" spans="1:4" ht="12.75">
      <c r="A13" s="724"/>
      <c r="B13" s="1321"/>
      <c r="C13" s="1369"/>
      <c r="D13" s="373"/>
    </row>
    <row r="14" spans="1:4" ht="15">
      <c r="A14" s="582" t="s">
        <v>347</v>
      </c>
      <c r="B14" s="1412">
        <v>-275373.4</v>
      </c>
      <c r="C14" s="1413"/>
      <c r="D14" s="722"/>
    </row>
    <row r="15" spans="1:4" ht="15">
      <c r="A15" s="471" t="s">
        <v>646</v>
      </c>
      <c r="B15" s="1414">
        <v>562609.53</v>
      </c>
      <c r="C15" s="1415"/>
      <c r="D15" s="723"/>
    </row>
    <row r="16" spans="1:4" ht="15">
      <c r="A16" s="470" t="s">
        <v>647</v>
      </c>
      <c r="B16" s="1410">
        <v>167199.62</v>
      </c>
      <c r="C16" s="1411"/>
      <c r="D16" s="723"/>
    </row>
    <row r="17" spans="1:4" ht="15">
      <c r="A17" s="475" t="s">
        <v>348</v>
      </c>
      <c r="B17" s="1416">
        <v>120036.51</v>
      </c>
      <c r="C17" s="1417"/>
      <c r="D17" s="722"/>
    </row>
    <row r="18" spans="1:4" ht="15">
      <c r="A18" s="470" t="s">
        <v>498</v>
      </c>
      <c r="B18" s="1418">
        <v>866891.48</v>
      </c>
      <c r="C18" s="1419"/>
      <c r="D18" s="723"/>
    </row>
    <row r="19" spans="1:4" ht="12.75">
      <c r="A19" s="82"/>
      <c r="B19" s="83"/>
      <c r="C19" s="83"/>
      <c r="D19" s="83"/>
    </row>
    <row r="20" spans="2:4" ht="12.75">
      <c r="B20" s="83"/>
      <c r="C20" s="81"/>
      <c r="D20" s="314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6.25" thickBot="1">
      <c r="A24" s="501" t="s">
        <v>892</v>
      </c>
      <c r="B24" s="502" t="s">
        <v>667</v>
      </c>
      <c r="C24" s="499" t="s">
        <v>673</v>
      </c>
      <c r="D24" s="503" t="s">
        <v>793</v>
      </c>
    </row>
    <row r="25" spans="1:4" ht="16.5" thickBot="1">
      <c r="A25" s="477" t="s">
        <v>913</v>
      </c>
      <c r="B25" s="504"/>
      <c r="C25" s="456"/>
      <c r="D25" s="676"/>
    </row>
    <row r="26" spans="1:4" ht="26.25">
      <c r="A26" s="546" t="s">
        <v>105</v>
      </c>
      <c r="B26" s="637" t="s">
        <v>652</v>
      </c>
      <c r="C26" s="536"/>
      <c r="D26" s="528">
        <v>116322.11</v>
      </c>
    </row>
    <row r="27" spans="1:4" ht="15">
      <c r="A27" s="492" t="s">
        <v>654</v>
      </c>
      <c r="B27" s="398" t="s">
        <v>656</v>
      </c>
      <c r="C27" s="398" t="s">
        <v>801</v>
      </c>
      <c r="D27" s="509">
        <v>68151.12</v>
      </c>
    </row>
    <row r="28" spans="1:4" ht="24.75">
      <c r="A28" s="546" t="s">
        <v>14</v>
      </c>
      <c r="B28" s="397" t="s">
        <v>657</v>
      </c>
      <c r="C28" s="506"/>
      <c r="D28" s="507">
        <v>85197.73</v>
      </c>
    </row>
    <row r="29" spans="1:4" ht="15">
      <c r="A29" s="492" t="s">
        <v>931</v>
      </c>
      <c r="B29" s="399" t="s">
        <v>661</v>
      </c>
      <c r="C29" s="508"/>
      <c r="D29" s="509">
        <v>144</v>
      </c>
    </row>
    <row r="30" spans="1:4" ht="15" customHeight="1">
      <c r="A30" s="492" t="s">
        <v>614</v>
      </c>
      <c r="B30" s="397"/>
      <c r="C30" s="506"/>
      <c r="D30" s="507">
        <v>6051.38</v>
      </c>
    </row>
    <row r="31" spans="1:4" ht="15.75" thickBot="1">
      <c r="A31" s="413" t="s">
        <v>799</v>
      </c>
      <c r="B31" s="673" t="s">
        <v>661</v>
      </c>
      <c r="C31" s="1173"/>
      <c r="D31" s="595">
        <v>12395.96</v>
      </c>
    </row>
    <row r="32" spans="1:4" ht="15.75" thickBot="1">
      <c r="A32" s="805" t="s">
        <v>701</v>
      </c>
      <c r="B32" s="980"/>
      <c r="C32" s="981"/>
      <c r="D32" s="839">
        <v>288262.3</v>
      </c>
    </row>
    <row r="33" spans="1:4" ht="15.75" thickBot="1">
      <c r="A33" s="487" t="s">
        <v>914</v>
      </c>
      <c r="B33" s="461"/>
      <c r="C33" s="462"/>
      <c r="D33" s="463"/>
    </row>
    <row r="34" spans="1:4" ht="24">
      <c r="A34" s="943" t="s">
        <v>615</v>
      </c>
      <c r="B34" s="514" t="s">
        <v>920</v>
      </c>
      <c r="C34" s="515" t="s">
        <v>673</v>
      </c>
      <c r="D34" s="516" t="s">
        <v>793</v>
      </c>
    </row>
    <row r="35" spans="1:4" ht="15">
      <c r="A35" s="359" t="s">
        <v>697</v>
      </c>
      <c r="B35" s="765"/>
      <c r="C35" s="423">
        <v>1</v>
      </c>
      <c r="D35" s="532">
        <v>5686.3</v>
      </c>
    </row>
    <row r="36" spans="1:4" ht="15.75">
      <c r="A36" s="488" t="s">
        <v>11</v>
      </c>
      <c r="B36" s="365"/>
      <c r="C36" s="359"/>
      <c r="D36" s="441">
        <v>284980.9</v>
      </c>
    </row>
    <row r="37" spans="1:4" ht="15">
      <c r="A37" s="385" t="s">
        <v>60</v>
      </c>
      <c r="B37" s="765" t="s">
        <v>817</v>
      </c>
      <c r="C37" s="441">
        <v>1</v>
      </c>
      <c r="D37" s="598">
        <v>3550.97</v>
      </c>
    </row>
    <row r="38" spans="1:4" ht="30" thickBot="1">
      <c r="A38" s="390" t="s">
        <v>617</v>
      </c>
      <c r="B38" s="748" t="s">
        <v>478</v>
      </c>
      <c r="C38" s="674">
        <v>3</v>
      </c>
      <c r="D38" s="459">
        <v>2784.71</v>
      </c>
    </row>
    <row r="39" spans="1:4" ht="15.75" thickBot="1">
      <c r="A39" s="806" t="s">
        <v>701</v>
      </c>
      <c r="B39" s="811"/>
      <c r="C39" s="1013"/>
      <c r="D39" s="858">
        <v>297002.88</v>
      </c>
    </row>
    <row r="40" spans="1:4" ht="15">
      <c r="A40" s="808" t="s">
        <v>445</v>
      </c>
      <c r="B40" s="800"/>
      <c r="C40" s="377"/>
      <c r="D40" s="441"/>
    </row>
    <row r="41" spans="1:4" ht="15">
      <c r="A41" s="377" t="s">
        <v>239</v>
      </c>
      <c r="B41" s="800" t="s">
        <v>478</v>
      </c>
      <c r="C41" s="377">
        <v>3</v>
      </c>
      <c r="D41" s="801">
        <v>4384.29</v>
      </c>
    </row>
    <row r="42" spans="1:4" ht="15">
      <c r="A42" s="377" t="s">
        <v>455</v>
      </c>
      <c r="B42" s="800"/>
      <c r="C42" s="377">
        <v>8</v>
      </c>
      <c r="D42" s="801">
        <v>4799.51</v>
      </c>
    </row>
    <row r="43" spans="1:4" ht="15">
      <c r="A43" s="377" t="s">
        <v>972</v>
      </c>
      <c r="B43" s="365"/>
      <c r="C43" s="359">
        <v>1</v>
      </c>
      <c r="D43" s="422">
        <v>27631.03</v>
      </c>
    </row>
    <row r="44" spans="1:4" ht="15.75" thickBot="1">
      <c r="A44" s="799" t="s">
        <v>324</v>
      </c>
      <c r="B44" s="758" t="s">
        <v>211</v>
      </c>
      <c r="C44" s="439">
        <v>3</v>
      </c>
      <c r="D44" s="424"/>
    </row>
    <row r="45" spans="1:4" ht="15.75" thickBot="1">
      <c r="A45" s="806" t="s">
        <v>701</v>
      </c>
      <c r="B45" s="811"/>
      <c r="C45" s="1017"/>
      <c r="D45" s="533">
        <v>36814.83</v>
      </c>
    </row>
    <row r="46" spans="1:4" ht="15">
      <c r="A46" s="890" t="s">
        <v>780</v>
      </c>
      <c r="B46" s="570"/>
      <c r="C46" s="385"/>
      <c r="D46" s="598"/>
    </row>
    <row r="47" spans="1:4" ht="15">
      <c r="A47" s="387" t="s">
        <v>616</v>
      </c>
      <c r="B47" s="365" t="s">
        <v>677</v>
      </c>
      <c r="C47" s="363">
        <v>1</v>
      </c>
      <c r="D47" s="532">
        <v>2922</v>
      </c>
    </row>
    <row r="48" spans="1:4" ht="15">
      <c r="A48" s="387" t="s">
        <v>786</v>
      </c>
      <c r="B48" s="365" t="s">
        <v>211</v>
      </c>
      <c r="C48" s="363">
        <v>1</v>
      </c>
      <c r="D48" s="532">
        <v>2916.01</v>
      </c>
    </row>
    <row r="49" spans="1:4" ht="15">
      <c r="A49" s="387" t="s">
        <v>174</v>
      </c>
      <c r="B49" s="365" t="s">
        <v>478</v>
      </c>
      <c r="C49" s="363">
        <v>2</v>
      </c>
      <c r="D49" s="532">
        <v>2508.29</v>
      </c>
    </row>
    <row r="50" spans="1:4" ht="15">
      <c r="A50" s="387" t="s">
        <v>618</v>
      </c>
      <c r="B50" s="365"/>
      <c r="C50" s="363">
        <v>3</v>
      </c>
      <c r="D50" s="532">
        <v>1097.25</v>
      </c>
    </row>
    <row r="51" spans="1:4" ht="15.75" thickBot="1">
      <c r="A51" s="799" t="s">
        <v>690</v>
      </c>
      <c r="B51" s="1170" t="s">
        <v>478</v>
      </c>
      <c r="C51" s="1074">
        <v>1</v>
      </c>
      <c r="D51" s="810">
        <v>408.01</v>
      </c>
    </row>
    <row r="52" spans="1:4" ht="15.75" thickBot="1">
      <c r="A52" s="806" t="s">
        <v>701</v>
      </c>
      <c r="B52" s="811"/>
      <c r="C52" s="1013"/>
      <c r="D52" s="841">
        <v>9851.56</v>
      </c>
    </row>
    <row r="53" spans="1:4" ht="15">
      <c r="A53" s="890" t="s">
        <v>424</v>
      </c>
      <c r="B53" s="570"/>
      <c r="C53" s="377"/>
      <c r="D53" s="441"/>
    </row>
    <row r="54" spans="1:4" ht="15">
      <c r="A54" s="387" t="s">
        <v>318</v>
      </c>
      <c r="B54" s="365" t="s">
        <v>211</v>
      </c>
      <c r="C54" s="359">
        <v>2</v>
      </c>
      <c r="D54" s="421">
        <v>4558.39</v>
      </c>
    </row>
    <row r="55" spans="1:4" ht="15">
      <c r="A55" s="387" t="s">
        <v>221</v>
      </c>
      <c r="B55" s="365" t="s">
        <v>478</v>
      </c>
      <c r="C55" s="359">
        <v>1</v>
      </c>
      <c r="D55" s="421">
        <v>364.01</v>
      </c>
    </row>
    <row r="56" spans="1:4" ht="15.75" thickBot="1">
      <c r="A56" s="526" t="s">
        <v>619</v>
      </c>
      <c r="B56" s="758"/>
      <c r="C56" s="807">
        <v>3</v>
      </c>
      <c r="D56" s="439">
        <v>1475.84</v>
      </c>
    </row>
    <row r="57" spans="1:4" ht="15.75" thickBot="1">
      <c r="A57" s="806" t="s">
        <v>701</v>
      </c>
      <c r="B57" s="811"/>
      <c r="C57" s="1013"/>
      <c r="D57" s="863">
        <v>6398.24</v>
      </c>
    </row>
    <row r="58" spans="1:4" ht="15">
      <c r="A58" s="890" t="s">
        <v>425</v>
      </c>
      <c r="B58" s="570"/>
      <c r="C58" s="377"/>
      <c r="D58" s="441"/>
    </row>
    <row r="59" spans="1:4" ht="15">
      <c r="A59" s="387" t="s">
        <v>620</v>
      </c>
      <c r="B59" s="365" t="s">
        <v>372</v>
      </c>
      <c r="C59" s="359">
        <v>3</v>
      </c>
      <c r="D59" s="421">
        <v>3172.25</v>
      </c>
    </row>
    <row r="60" spans="1:4" ht="15">
      <c r="A60" s="387" t="s">
        <v>212</v>
      </c>
      <c r="B60" s="365" t="s">
        <v>81</v>
      </c>
      <c r="C60" s="359">
        <v>1</v>
      </c>
      <c r="D60" s="421">
        <v>1205.22</v>
      </c>
    </row>
    <row r="61" spans="1:4" ht="15.75" thickBot="1">
      <c r="A61" s="799" t="s">
        <v>882</v>
      </c>
      <c r="B61" s="834"/>
      <c r="C61" s="799">
        <v>5</v>
      </c>
      <c r="D61" s="810">
        <v>5241.92</v>
      </c>
    </row>
    <row r="62" spans="1:4" ht="15.75" thickBot="1">
      <c r="A62" s="806" t="s">
        <v>701</v>
      </c>
      <c r="B62" s="811"/>
      <c r="C62" s="1013"/>
      <c r="D62" s="858">
        <v>9619.39</v>
      </c>
    </row>
    <row r="63" spans="1:4" ht="15">
      <c r="A63" s="808" t="s">
        <v>386</v>
      </c>
      <c r="B63" s="570"/>
      <c r="C63" s="377"/>
      <c r="D63" s="598"/>
    </row>
    <row r="64" spans="1:4" ht="15">
      <c r="A64" s="377" t="s">
        <v>886</v>
      </c>
      <c r="B64" s="570" t="s">
        <v>478</v>
      </c>
      <c r="C64" s="377">
        <v>3</v>
      </c>
      <c r="D64" s="532">
        <v>1573.17</v>
      </c>
    </row>
    <row r="65" spans="1:4" ht="15.75" thickBot="1">
      <c r="A65" s="377" t="s">
        <v>692</v>
      </c>
      <c r="B65" s="570"/>
      <c r="C65" s="377">
        <v>3</v>
      </c>
      <c r="D65" s="532">
        <v>934.17</v>
      </c>
    </row>
    <row r="66" spans="1:4" ht="15.75" thickBot="1">
      <c r="A66" s="806" t="s">
        <v>701</v>
      </c>
      <c r="B66" s="811"/>
      <c r="C66" s="1013"/>
      <c r="D66" s="533">
        <v>2507.34</v>
      </c>
    </row>
    <row r="67" spans="1:4" ht="15.75" thickBot="1">
      <c r="A67" s="1053"/>
      <c r="B67" s="834"/>
      <c r="C67" s="799"/>
      <c r="D67" s="836"/>
    </row>
    <row r="68" spans="1:4" ht="15.75" thickBot="1">
      <c r="A68" s="806" t="s">
        <v>375</v>
      </c>
      <c r="B68" s="811"/>
      <c r="C68" s="1013"/>
      <c r="D68" s="863">
        <v>362194.24</v>
      </c>
    </row>
    <row r="69" spans="1:4" ht="15">
      <c r="A69" s="1081"/>
      <c r="B69" s="570"/>
      <c r="C69" s="377"/>
      <c r="D69" s="441"/>
    </row>
    <row r="70" spans="1:4" ht="15">
      <c r="A70" s="377"/>
      <c r="B70" s="570"/>
      <c r="C70" s="441"/>
      <c r="D70" s="1028"/>
    </row>
    <row r="71" spans="1:4" ht="15">
      <c r="A71" s="1151" t="s">
        <v>374</v>
      </c>
      <c r="B71" s="365"/>
      <c r="C71" s="431"/>
      <c r="D71" s="891">
        <v>25235.9</v>
      </c>
    </row>
    <row r="72" spans="1:4" ht="15.75">
      <c r="A72" s="1157" t="s">
        <v>904</v>
      </c>
      <c r="B72" s="757"/>
      <c r="C72" s="369"/>
      <c r="D72" s="428">
        <v>31096.5</v>
      </c>
    </row>
    <row r="73" spans="1:4" ht="15.75" thickBot="1">
      <c r="A73" s="808" t="s">
        <v>787</v>
      </c>
      <c r="B73" s="765"/>
      <c r="C73" s="519"/>
      <c r="D73" s="1039">
        <v>160102.54</v>
      </c>
    </row>
    <row r="74" spans="1:4" ht="15.75" thickBot="1">
      <c r="A74" s="526"/>
      <c r="B74" s="811"/>
      <c r="C74" s="907"/>
      <c r="D74" s="826"/>
    </row>
    <row r="75" spans="1:4" ht="15.75" thickBot="1">
      <c r="A75" s="806" t="s">
        <v>956</v>
      </c>
      <c r="B75" s="1032"/>
      <c r="C75" s="1033"/>
      <c r="D75" s="463">
        <v>866891.48</v>
      </c>
    </row>
    <row r="76" spans="1:4" ht="15">
      <c r="A76" s="370"/>
      <c r="B76" s="370"/>
      <c r="C76" s="370"/>
      <c r="D76" s="371"/>
    </row>
    <row r="77" spans="1:4" ht="15">
      <c r="A77" s="370"/>
      <c r="B77" s="370"/>
      <c r="C77" s="370"/>
      <c r="D77" s="371"/>
    </row>
    <row r="78" spans="1:4" ht="15">
      <c r="A78" s="370"/>
      <c r="B78" s="370"/>
      <c r="C78" s="370"/>
      <c r="D78" s="371"/>
    </row>
    <row r="79" spans="1:4" ht="15">
      <c r="A79" s="370"/>
      <c r="B79" s="370"/>
      <c r="C79" s="370"/>
      <c r="D79" s="371"/>
    </row>
    <row r="80" spans="1:4" ht="14.25">
      <c r="A80" s="764"/>
      <c r="B80" s="358"/>
      <c r="C80" s="359"/>
      <c r="D80" s="1262"/>
    </row>
    <row r="81" spans="1:4" ht="15">
      <c r="A81" s="1251" t="s">
        <v>568</v>
      </c>
      <c r="B81" s="1257"/>
      <c r="C81" s="467"/>
      <c r="D81" s="467">
        <v>0</v>
      </c>
    </row>
    <row r="82" spans="1:4" ht="15">
      <c r="A82" s="1332" t="s">
        <v>569</v>
      </c>
      <c r="B82" s="1332"/>
      <c r="C82" s="628"/>
      <c r="D82" s="608">
        <v>442573.02</v>
      </c>
    </row>
    <row r="83" spans="1:4" ht="15">
      <c r="A83" s="1332" t="s">
        <v>570</v>
      </c>
      <c r="B83" s="1332"/>
      <c r="C83" s="607"/>
      <c r="D83" s="608">
        <v>866891.48</v>
      </c>
    </row>
    <row r="84" spans="1:4" ht="15">
      <c r="A84" s="1333" t="s">
        <v>571</v>
      </c>
      <c r="B84" s="1333"/>
      <c r="C84" s="629"/>
      <c r="D84" s="629">
        <v>424318.46</v>
      </c>
    </row>
    <row r="85" spans="1:4" ht="15">
      <c r="A85" s="1332" t="s">
        <v>179</v>
      </c>
      <c r="B85" s="1332"/>
      <c r="C85" s="1258"/>
      <c r="D85" s="630">
        <v>424318.46</v>
      </c>
    </row>
    <row r="86" spans="1:4" ht="15">
      <c r="A86" s="538"/>
      <c r="B86" s="538"/>
      <c r="C86" s="1259"/>
      <c r="D86" s="1260"/>
    </row>
    <row r="87" spans="1:4" ht="15">
      <c r="A87" s="538"/>
      <c r="B87" s="538"/>
      <c r="C87" s="1259"/>
      <c r="D87" s="1260"/>
    </row>
    <row r="88" spans="1:4" ht="15">
      <c r="A88" s="538"/>
      <c r="B88" s="538"/>
      <c r="C88" s="1259"/>
      <c r="D88" s="1260"/>
    </row>
    <row r="89" spans="1:4" ht="15">
      <c r="A89" s="538" t="s">
        <v>180</v>
      </c>
      <c r="B89" s="538"/>
      <c r="C89" s="1259" t="s">
        <v>573</v>
      </c>
      <c r="D89" s="1260"/>
    </row>
    <row r="90" spans="1:4" ht="15">
      <c r="A90" s="538"/>
      <c r="B90" s="538"/>
      <c r="C90" s="1259"/>
      <c r="D90" s="1260"/>
    </row>
    <row r="91" ht="12.75">
      <c r="A91" s="735" t="s">
        <v>357</v>
      </c>
    </row>
    <row r="92" ht="12.75">
      <c r="A92" s="735" t="s">
        <v>906</v>
      </c>
    </row>
    <row r="93" ht="12.75">
      <c r="A93" s="735" t="s">
        <v>358</v>
      </c>
    </row>
  </sheetData>
  <sheetProtection/>
  <mergeCells count="21">
    <mergeCell ref="B10:C10"/>
    <mergeCell ref="B11:C11"/>
    <mergeCell ref="A3:B3"/>
    <mergeCell ref="A4:B4"/>
    <mergeCell ref="A5:B5"/>
    <mergeCell ref="C3:D3"/>
    <mergeCell ref="A6:B6"/>
    <mergeCell ref="A8:B8"/>
    <mergeCell ref="B12:C12"/>
    <mergeCell ref="B13:C13"/>
    <mergeCell ref="A21:D21"/>
    <mergeCell ref="A22:D22"/>
    <mergeCell ref="B16:C16"/>
    <mergeCell ref="B14:C14"/>
    <mergeCell ref="B15:C15"/>
    <mergeCell ref="B17:C17"/>
    <mergeCell ref="B18:C18"/>
    <mergeCell ref="A82:B82"/>
    <mergeCell ref="A83:B83"/>
    <mergeCell ref="A84:B84"/>
    <mergeCell ref="A85:B85"/>
  </mergeCells>
  <printOptions/>
  <pageMargins left="0" right="0" top="0.3937007874015748" bottom="0.7480314960629921" header="0.31496062992125984" footer="0.31496062992125984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">
      <selection activeCell="C45" sqref="C45:C4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6.4218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845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79923.83+225.9</f>
        <v>80149.73</v>
      </c>
      <c r="E11" s="25">
        <v>15727.49</v>
      </c>
    </row>
    <row r="12" spans="2:5" ht="16.5" thickBot="1">
      <c r="B12" s="1398" t="s">
        <v>646</v>
      </c>
      <c r="C12" s="1399"/>
      <c r="D12" s="89">
        <f>593793.12+1767.04</f>
        <v>595560.16</v>
      </c>
      <c r="E12" s="5">
        <v>31967.67</v>
      </c>
    </row>
    <row r="13" spans="2:5" ht="16.5" thickBot="1">
      <c r="B13" s="1398" t="s">
        <v>647</v>
      </c>
      <c r="C13" s="1399"/>
      <c r="D13" s="5">
        <f>576842.7+2002.98</f>
        <v>578845.6799999999</v>
      </c>
      <c r="E13" s="5">
        <v>41716.99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98" t="s">
        <v>648</v>
      </c>
      <c r="C15" s="1399"/>
      <c r="D15" s="5">
        <f>D11+D12-D13</f>
        <v>96864.21000000008</v>
      </c>
      <c r="E15" s="5">
        <f>E11+E12-E13</f>
        <v>5978.169999999998</v>
      </c>
    </row>
    <row r="16" spans="2:5" ht="16.5" thickBot="1">
      <c r="B16" s="1398" t="s">
        <v>806</v>
      </c>
      <c r="C16" s="1399"/>
      <c r="D16" s="75">
        <f>E22+E55</f>
        <v>733747.1799999999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32.25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E23+E29+E31+E32+E42</f>
        <v>393580.27999999997</v>
      </c>
    </row>
    <row r="23" spans="1:5" ht="32.25" thickBot="1">
      <c r="A23" s="11"/>
      <c r="B23" s="67" t="s">
        <v>662</v>
      </c>
      <c r="C23" s="64" t="s">
        <v>652</v>
      </c>
      <c r="D23" s="43"/>
      <c r="E23" s="230">
        <v>197400.58</v>
      </c>
    </row>
    <row r="24" spans="2:5" ht="32.25" hidden="1" thickBot="1">
      <c r="B24" s="67" t="s">
        <v>686</v>
      </c>
      <c r="C24" s="65" t="s">
        <v>661</v>
      </c>
      <c r="D24" s="44"/>
      <c r="E24" s="174"/>
    </row>
    <row r="25" spans="2:5" ht="16.5" hidden="1" thickBot="1">
      <c r="B25" s="67" t="s">
        <v>765</v>
      </c>
      <c r="C25" s="65" t="s">
        <v>661</v>
      </c>
      <c r="D25" s="44"/>
      <c r="E25" s="174"/>
    </row>
    <row r="26" spans="2:5" ht="39.75" hidden="1" thickBot="1">
      <c r="B26" s="67" t="s">
        <v>655</v>
      </c>
      <c r="C26" s="64" t="s">
        <v>653</v>
      </c>
      <c r="D26" s="45"/>
      <c r="E26" s="237"/>
    </row>
    <row r="27" spans="2:5" ht="48" hidden="1" thickBot="1">
      <c r="B27" s="67" t="s">
        <v>796</v>
      </c>
      <c r="C27" s="65" t="s">
        <v>661</v>
      </c>
      <c r="D27" s="44"/>
      <c r="E27" s="174"/>
    </row>
    <row r="28" spans="2:5" ht="48" hidden="1" thickBot="1">
      <c r="B28" s="67" t="s">
        <v>797</v>
      </c>
      <c r="C28" s="65" t="s">
        <v>661</v>
      </c>
      <c r="D28" s="44"/>
      <c r="E28" s="174"/>
    </row>
    <row r="29" spans="2:5" ht="16.5" thickBot="1">
      <c r="B29" s="67" t="s">
        <v>654</v>
      </c>
      <c r="C29" s="48" t="s">
        <v>656</v>
      </c>
      <c r="D29" s="43" t="s">
        <v>801</v>
      </c>
      <c r="E29" s="230">
        <v>84274.49</v>
      </c>
    </row>
    <row r="30" spans="2:5" ht="32.25" hidden="1" thickBot="1">
      <c r="B30" s="67" t="s">
        <v>798</v>
      </c>
      <c r="C30" s="65" t="s">
        <v>661</v>
      </c>
      <c r="D30" s="47" t="s">
        <v>822</v>
      </c>
      <c r="E30" s="174"/>
    </row>
    <row r="31" spans="2:5" ht="27" thickBot="1">
      <c r="B31" s="67" t="s">
        <v>658</v>
      </c>
      <c r="C31" s="64" t="s">
        <v>657</v>
      </c>
      <c r="D31" s="43"/>
      <c r="E31" s="230">
        <v>91434.75</v>
      </c>
    </row>
    <row r="32" spans="2:5" ht="16.5" thickBot="1">
      <c r="B32" s="133" t="s">
        <v>799</v>
      </c>
      <c r="C32" s="119" t="s">
        <v>661</v>
      </c>
      <c r="D32" s="43"/>
      <c r="E32" s="230">
        <v>645.23</v>
      </c>
    </row>
    <row r="33" spans="2:5" ht="16.5" hidden="1" thickBot="1">
      <c r="B33" s="68" t="s">
        <v>758</v>
      </c>
      <c r="C33" s="64" t="s">
        <v>665</v>
      </c>
      <c r="D33" s="43"/>
      <c r="E33" s="238"/>
    </row>
    <row r="34" spans="2:5" ht="32.25" hidden="1" thickBot="1">
      <c r="B34" s="67" t="s">
        <v>664</v>
      </c>
      <c r="C34" s="65" t="s">
        <v>661</v>
      </c>
      <c r="D34" s="44"/>
      <c r="E34" s="174"/>
    </row>
    <row r="35" spans="2:5" ht="32.25" hidden="1" thickBot="1">
      <c r="B35" s="67" t="s">
        <v>671</v>
      </c>
      <c r="C35" s="65" t="s">
        <v>661</v>
      </c>
      <c r="D35" s="72"/>
      <c r="E35" s="239"/>
    </row>
    <row r="36" spans="2:5" ht="78.75" hidden="1" thickBot="1">
      <c r="B36" s="36" t="s">
        <v>790</v>
      </c>
      <c r="C36" s="65" t="s">
        <v>661</v>
      </c>
      <c r="D36" s="44"/>
      <c r="E36" s="174"/>
    </row>
    <row r="37" spans="2:5" ht="48" hidden="1" thickBot="1">
      <c r="B37" s="67" t="s">
        <v>767</v>
      </c>
      <c r="C37" s="64" t="s">
        <v>766</v>
      </c>
      <c r="D37" s="43"/>
      <c r="E37" s="238"/>
    </row>
    <row r="38" spans="2:5" ht="32.25" hidden="1" thickBot="1">
      <c r="B38" s="67" t="s">
        <v>668</v>
      </c>
      <c r="C38" s="65" t="s">
        <v>661</v>
      </c>
      <c r="D38" s="44"/>
      <c r="E38" s="174"/>
    </row>
    <row r="39" spans="2:5" ht="16.5" hidden="1" thickBot="1">
      <c r="B39" s="67" t="s">
        <v>799</v>
      </c>
      <c r="C39" s="65" t="s">
        <v>661</v>
      </c>
      <c r="D39" s="44"/>
      <c r="E39" s="174"/>
    </row>
    <row r="40" spans="2:5" ht="39.75" hidden="1" thickBot="1">
      <c r="B40" s="67" t="s">
        <v>670</v>
      </c>
      <c r="C40" s="64" t="s">
        <v>684</v>
      </c>
      <c r="D40" s="46"/>
      <c r="E40" s="240"/>
    </row>
    <row r="41" spans="2:5" ht="48" hidden="1" thickBot="1">
      <c r="B41" s="68" t="s">
        <v>800</v>
      </c>
      <c r="C41" s="65" t="s">
        <v>661</v>
      </c>
      <c r="D41" s="44"/>
      <c r="E41" s="174"/>
    </row>
    <row r="42" spans="2:5" ht="16.5" thickBot="1">
      <c r="B42" s="69" t="s">
        <v>685</v>
      </c>
      <c r="C42" s="212" t="s">
        <v>817</v>
      </c>
      <c r="D42" s="43" t="s">
        <v>801</v>
      </c>
      <c r="E42" s="231">
        <v>19825.23</v>
      </c>
    </row>
    <row r="43" spans="2:5" ht="20.25" thickBot="1">
      <c r="B43" s="14" t="s">
        <v>760</v>
      </c>
      <c r="C43" s="17"/>
      <c r="E43" s="263">
        <f>E55</f>
        <v>340166.9</v>
      </c>
    </row>
    <row r="44" spans="2:5" ht="15.75" thickBot="1">
      <c r="B44" s="150" t="s">
        <v>672</v>
      </c>
      <c r="C44" s="15" t="s">
        <v>920</v>
      </c>
      <c r="D44" s="49" t="s">
        <v>673</v>
      </c>
      <c r="E44" s="176" t="s">
        <v>793</v>
      </c>
    </row>
    <row r="45" spans="2:5" ht="14.25">
      <c r="B45" s="188" t="s">
        <v>928</v>
      </c>
      <c r="C45" s="74" t="s">
        <v>661</v>
      </c>
      <c r="D45" s="153"/>
      <c r="E45" s="177">
        <f>732.87</f>
        <v>732.87</v>
      </c>
    </row>
    <row r="46" spans="2:5" ht="14.25">
      <c r="B46" s="188" t="s">
        <v>989</v>
      </c>
      <c r="C46" s="74" t="s">
        <v>661</v>
      </c>
      <c r="D46" s="153"/>
      <c r="E46" s="177">
        <v>120654</v>
      </c>
    </row>
    <row r="47" spans="2:5" ht="14.25">
      <c r="B47" s="151" t="s">
        <v>676</v>
      </c>
      <c r="C47" s="116"/>
      <c r="D47" s="153"/>
      <c r="E47" s="177"/>
    </row>
    <row r="48" spans="2:5" ht="14.25">
      <c r="B48" s="132" t="s">
        <v>883</v>
      </c>
      <c r="C48" s="74" t="s">
        <v>661</v>
      </c>
      <c r="D48" s="153"/>
      <c r="E48" s="179">
        <f>1778.35+124174.37</f>
        <v>125952.72</v>
      </c>
    </row>
    <row r="49" spans="2:5" ht="14.25">
      <c r="B49" s="157" t="s">
        <v>880</v>
      </c>
      <c r="C49" s="74" t="s">
        <v>661</v>
      </c>
      <c r="D49" s="153"/>
      <c r="E49" s="259">
        <v>9689.26</v>
      </c>
    </row>
    <row r="50" spans="2:5" ht="14.25">
      <c r="B50" s="157" t="s">
        <v>925</v>
      </c>
      <c r="C50" s="74" t="s">
        <v>661</v>
      </c>
      <c r="D50" s="153"/>
      <c r="E50" s="180">
        <f>12673.67</f>
        <v>12673.67</v>
      </c>
    </row>
    <row r="51" spans="2:5" ht="15">
      <c r="B51" s="151" t="s">
        <v>1025</v>
      </c>
      <c r="C51" s="118"/>
      <c r="D51" s="153"/>
      <c r="E51" s="191"/>
    </row>
    <row r="52" spans="2:5" ht="14.25">
      <c r="B52" s="159" t="s">
        <v>998</v>
      </c>
      <c r="C52" s="74" t="s">
        <v>661</v>
      </c>
      <c r="D52" s="153"/>
      <c r="E52" s="192">
        <f>66661.09+2485.23</f>
        <v>69146.31999999999</v>
      </c>
    </row>
    <row r="53" spans="2:5" ht="14.25">
      <c r="B53" s="159" t="s">
        <v>929</v>
      </c>
      <c r="C53" s="74" t="s">
        <v>661</v>
      </c>
      <c r="D53" s="13"/>
      <c r="E53" s="85">
        <v>1318.06</v>
      </c>
    </row>
    <row r="54" spans="2:5" ht="12.75" hidden="1">
      <c r="B54" s="13"/>
      <c r="C54" s="13"/>
      <c r="D54" s="13"/>
      <c r="E54" s="85"/>
    </row>
    <row r="55" spans="2:5" ht="12.75" hidden="1">
      <c r="B55" s="117" t="s">
        <v>1014</v>
      </c>
      <c r="C55" s="13"/>
      <c r="D55" s="13"/>
      <c r="E55" s="256">
        <f>E45+E46+E48+E49+E50+E52+E53</f>
        <v>340166.9</v>
      </c>
    </row>
    <row r="56" spans="2:5" ht="12.75">
      <c r="B56" s="103"/>
      <c r="C56" s="11"/>
      <c r="D56" s="11"/>
      <c r="E56" s="207"/>
    </row>
    <row r="57" spans="2:5" ht="12.75">
      <c r="B57" s="103"/>
      <c r="C57" s="11"/>
      <c r="D57" s="11"/>
      <c r="E57" s="207"/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1"/>
      <c r="C60" s="11"/>
      <c r="D60" s="11"/>
      <c r="E60" s="207"/>
    </row>
    <row r="61" spans="2:5" ht="15.75">
      <c r="B61" s="6" t="s">
        <v>830</v>
      </c>
      <c r="C61" s="6" t="s">
        <v>889</v>
      </c>
      <c r="E61" s="254"/>
    </row>
  </sheetData>
  <sheetProtection/>
  <mergeCells count="13">
    <mergeCell ref="B7:C7"/>
    <mergeCell ref="B9:C10"/>
    <mergeCell ref="B2:C2"/>
    <mergeCell ref="B3:C3"/>
    <mergeCell ref="B4:C4"/>
    <mergeCell ref="B5:C5"/>
    <mergeCell ref="B19:E19"/>
    <mergeCell ref="B12:C12"/>
    <mergeCell ref="B13:C13"/>
    <mergeCell ref="B14:C14"/>
    <mergeCell ref="B15:C15"/>
    <mergeCell ref="B16:C16"/>
    <mergeCell ref="B18:E18"/>
  </mergeCells>
  <printOptions/>
  <pageMargins left="0" right="0" top="1.141732283464567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6">
      <selection activeCell="A15" sqref="A15:B16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customWidth="1"/>
    <col min="4" max="4" width="15.14062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936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>
        <f>978.12+134051.7</f>
        <v>135029.82</v>
      </c>
      <c r="D11" s="136">
        <v>30890.48</v>
      </c>
    </row>
    <row r="12" spans="1:4" ht="15.75" thickBot="1">
      <c r="A12" s="1341" t="s">
        <v>646</v>
      </c>
      <c r="B12" s="1342"/>
      <c r="C12" s="137">
        <f>4523.24+881810.13</f>
        <v>886333.37</v>
      </c>
      <c r="D12" s="136">
        <v>46170.15</v>
      </c>
    </row>
    <row r="13" spans="1:4" ht="15.75" thickBot="1">
      <c r="A13" s="1341" t="s">
        <v>647</v>
      </c>
      <c r="B13" s="1342"/>
      <c r="C13" s="135">
        <f>5472.3+898743.93</f>
        <v>904216.2300000001</v>
      </c>
      <c r="D13" s="136">
        <v>74901.14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46</v>
      </c>
      <c r="B15" s="1342"/>
      <c r="C15" s="135">
        <v>73630.92</v>
      </c>
      <c r="D15" s="136"/>
    </row>
    <row r="16" spans="1:4" ht="15.75" thickBot="1">
      <c r="A16" s="1341" t="s">
        <v>47</v>
      </c>
      <c r="B16" s="1342"/>
      <c r="C16" s="135"/>
      <c r="D16" s="136"/>
    </row>
    <row r="17" spans="1:4" ht="15.75" thickBot="1">
      <c r="A17" s="1341" t="s">
        <v>648</v>
      </c>
      <c r="B17" s="1342"/>
      <c r="C17" s="135">
        <f>C11+C12-C13</f>
        <v>117146.95999999985</v>
      </c>
      <c r="D17" s="136">
        <f>D11+D12-D13</f>
        <v>2159.4900000000052</v>
      </c>
    </row>
    <row r="18" spans="1:4" ht="15.75" thickBot="1">
      <c r="A18" s="1341" t="s">
        <v>806</v>
      </c>
      <c r="B18" s="1342"/>
      <c r="C18" s="170">
        <f>D24+D45</f>
        <v>717323.81</v>
      </c>
      <c r="D18" s="138"/>
    </row>
    <row r="19" spans="2:3" ht="12.75">
      <c r="B19" s="83"/>
      <c r="C19" s="81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891</v>
      </c>
      <c r="B21" s="1340"/>
      <c r="C21" s="1340"/>
      <c r="D21" s="1340"/>
    </row>
    <row r="22" spans="1:4" ht="13.5" thickBot="1">
      <c r="A22" s="82"/>
      <c r="B22" s="82"/>
      <c r="C22" s="103"/>
      <c r="D22" s="82"/>
    </row>
    <row r="23" spans="1:4" ht="26.25" thickBot="1">
      <c r="A23" s="64" t="s">
        <v>892</v>
      </c>
      <c r="B23" s="141" t="s">
        <v>667</v>
      </c>
      <c r="C23" s="142" t="s">
        <v>673</v>
      </c>
      <c r="D23" s="167" t="s">
        <v>793</v>
      </c>
    </row>
    <row r="24" spans="1:4" ht="16.5" thickBot="1">
      <c r="A24" s="143" t="s">
        <v>878</v>
      </c>
      <c r="B24" s="61"/>
      <c r="C24" s="144"/>
      <c r="D24" s="62">
        <f>D25+D26+D27+D28+D30+D29</f>
        <v>570840.68</v>
      </c>
    </row>
    <row r="25" spans="1:4" ht="26.25" thickBot="1">
      <c r="A25" s="166" t="s">
        <v>662</v>
      </c>
      <c r="B25" s="64" t="s">
        <v>652</v>
      </c>
      <c r="C25" s="45"/>
      <c r="D25" s="171">
        <v>248928.4</v>
      </c>
    </row>
    <row r="26" spans="1:4" ht="15.75" thickBot="1">
      <c r="A26" s="133" t="s">
        <v>654</v>
      </c>
      <c r="B26" s="48" t="s">
        <v>656</v>
      </c>
      <c r="C26" s="45" t="s">
        <v>801</v>
      </c>
      <c r="D26" s="171">
        <v>140984.64</v>
      </c>
    </row>
    <row r="27" spans="1:4" ht="25.5" thickBot="1">
      <c r="A27" s="133" t="s">
        <v>658</v>
      </c>
      <c r="B27" s="168" t="s">
        <v>657</v>
      </c>
      <c r="C27" s="145"/>
      <c r="D27" s="171">
        <v>107871.3</v>
      </c>
    </row>
    <row r="28" spans="1:4" ht="15.75" thickBot="1">
      <c r="A28" s="133" t="s">
        <v>799</v>
      </c>
      <c r="B28" s="181" t="s">
        <v>661</v>
      </c>
      <c r="C28" s="182"/>
      <c r="D28" s="183">
        <v>37914.07</v>
      </c>
    </row>
    <row r="29" spans="1:4" ht="15.75" thickBot="1">
      <c r="A29" s="189" t="s">
        <v>931</v>
      </c>
      <c r="B29" s="181" t="s">
        <v>661</v>
      </c>
      <c r="C29" s="182"/>
      <c r="D29" s="183">
        <v>3636.03</v>
      </c>
    </row>
    <row r="30" spans="1:4" ht="15.75" thickBot="1">
      <c r="A30" s="147" t="s">
        <v>685</v>
      </c>
      <c r="B30" s="184" t="s">
        <v>817</v>
      </c>
      <c r="C30" s="45" t="s">
        <v>801</v>
      </c>
      <c r="D30" s="186">
        <v>31506.24</v>
      </c>
    </row>
    <row r="31" spans="1:4" ht="15.75" thickBot="1">
      <c r="A31" s="148" t="s">
        <v>760</v>
      </c>
      <c r="B31" s="149"/>
      <c r="C31" s="139"/>
      <c r="D31" s="194">
        <f>D33+D34+D36+D37+D38+D39+D41+D42+D43</f>
        <v>146483.13</v>
      </c>
    </row>
    <row r="32" spans="1:4" ht="24.75" thickBot="1">
      <c r="A32" s="150" t="s">
        <v>672</v>
      </c>
      <c r="B32" s="15" t="s">
        <v>920</v>
      </c>
      <c r="C32" s="49" t="s">
        <v>673</v>
      </c>
      <c r="D32" s="176" t="s">
        <v>793</v>
      </c>
    </row>
    <row r="33" spans="1:4" ht="14.25">
      <c r="A33" s="156" t="s">
        <v>816</v>
      </c>
      <c r="B33" s="74" t="s">
        <v>661</v>
      </c>
      <c r="C33" s="153"/>
      <c r="D33" s="177">
        <v>1297.81</v>
      </c>
    </row>
    <row r="34" spans="1:4" ht="14.25">
      <c r="A34" s="188" t="s">
        <v>928</v>
      </c>
      <c r="B34" s="74" t="s">
        <v>661</v>
      </c>
      <c r="C34" s="153"/>
      <c r="D34" s="177">
        <f>301.18+1880.88+9535.39+3640.76+4376.11</f>
        <v>19734.32</v>
      </c>
    </row>
    <row r="35" spans="1:4" ht="14.25">
      <c r="A35" s="151" t="s">
        <v>676</v>
      </c>
      <c r="B35" s="116"/>
      <c r="C35" s="153"/>
      <c r="D35" s="177"/>
    </row>
    <row r="36" spans="1:4" ht="14.25">
      <c r="A36" s="157" t="s">
        <v>815</v>
      </c>
      <c r="B36" s="74" t="s">
        <v>661</v>
      </c>
      <c r="C36" s="153"/>
      <c r="D36" s="178">
        <v>32138.95</v>
      </c>
    </row>
    <row r="37" spans="1:4" ht="14.25">
      <c r="A37" s="132" t="s">
        <v>883</v>
      </c>
      <c r="B37" s="74" t="s">
        <v>661</v>
      </c>
      <c r="C37" s="153"/>
      <c r="D37" s="179">
        <v>42943.09</v>
      </c>
    </row>
    <row r="38" spans="1:4" ht="14.25">
      <c r="A38" s="157" t="s">
        <v>880</v>
      </c>
      <c r="B38" s="74" t="s">
        <v>661</v>
      </c>
      <c r="C38" s="153"/>
      <c r="D38" s="179">
        <v>9094.9</v>
      </c>
    </row>
    <row r="39" spans="1:4" ht="14.25">
      <c r="A39" s="157" t="s">
        <v>925</v>
      </c>
      <c r="B39" s="74" t="s">
        <v>661</v>
      </c>
      <c r="C39" s="153"/>
      <c r="D39" s="180">
        <v>17022.58</v>
      </c>
    </row>
    <row r="40" spans="1:4" ht="15">
      <c r="A40" s="151" t="s">
        <v>682</v>
      </c>
      <c r="B40" s="118"/>
      <c r="C40" s="153"/>
      <c r="D40" s="191"/>
    </row>
    <row r="41" spans="1:4" ht="14.25">
      <c r="A41" s="159" t="s">
        <v>886</v>
      </c>
      <c r="B41" s="74" t="s">
        <v>661</v>
      </c>
      <c r="C41" s="153"/>
      <c r="D41" s="192">
        <v>3499.95</v>
      </c>
    </row>
    <row r="42" spans="1:4" ht="14.25">
      <c r="A42" s="159" t="s">
        <v>888</v>
      </c>
      <c r="B42" s="74" t="s">
        <v>661</v>
      </c>
      <c r="C42" s="153"/>
      <c r="D42" s="192">
        <f>2763.53+613.83+1801.51+13472.78</f>
        <v>18651.65</v>
      </c>
    </row>
    <row r="43" spans="1:4" ht="14.25">
      <c r="A43" s="159" t="s">
        <v>929</v>
      </c>
      <c r="B43" s="74" t="s">
        <v>661</v>
      </c>
      <c r="C43" s="152"/>
      <c r="D43" s="192">
        <v>2099.88</v>
      </c>
    </row>
    <row r="44" spans="1:4" ht="14.25" hidden="1">
      <c r="A44" s="157"/>
      <c r="B44" s="153"/>
      <c r="C44" s="152"/>
      <c r="D44" s="160"/>
    </row>
    <row r="45" spans="1:4" ht="15" hidden="1">
      <c r="A45" s="162" t="s">
        <v>821</v>
      </c>
      <c r="B45" s="163"/>
      <c r="C45" s="164"/>
      <c r="D45" s="165">
        <f>SUM(D33:D44)</f>
        <v>146483.13</v>
      </c>
    </row>
    <row r="46" spans="1:4" ht="15">
      <c r="A46" s="71"/>
      <c r="B46" s="11"/>
      <c r="C46" s="11"/>
      <c r="D46" s="11"/>
    </row>
    <row r="47" spans="1:4" ht="15">
      <c r="A47" s="71"/>
      <c r="B47" s="11"/>
      <c r="C47" s="11"/>
      <c r="D47" s="11"/>
    </row>
    <row r="48" spans="1:4" ht="15">
      <c r="A48" s="71"/>
      <c r="B48" s="11"/>
      <c r="C48" s="11"/>
      <c r="D48" s="11"/>
    </row>
    <row r="49" spans="1:4" ht="15">
      <c r="A49" s="71"/>
      <c r="B49" s="11"/>
      <c r="C49" s="11"/>
      <c r="D49" s="11"/>
    </row>
    <row r="50" spans="1:3" ht="15.75">
      <c r="A50" s="187" t="s">
        <v>921</v>
      </c>
      <c r="B50" s="187"/>
      <c r="C50" s="187" t="s">
        <v>889</v>
      </c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7" ht="15.75">
      <c r="A57" s="7"/>
    </row>
  </sheetData>
  <sheetProtection/>
  <mergeCells count="15">
    <mergeCell ref="A7:B7"/>
    <mergeCell ref="A9:B10"/>
    <mergeCell ref="A2:B2"/>
    <mergeCell ref="A3:B3"/>
    <mergeCell ref="A4:B4"/>
    <mergeCell ref="A5:B5"/>
    <mergeCell ref="A21:D21"/>
    <mergeCell ref="A12:B12"/>
    <mergeCell ref="A13:B13"/>
    <mergeCell ref="A14:B14"/>
    <mergeCell ref="A17:B17"/>
    <mergeCell ref="A18:B18"/>
    <mergeCell ref="A20:D20"/>
    <mergeCell ref="A15:B15"/>
    <mergeCell ref="A16:B16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99CC"/>
  </sheetPr>
  <dimension ref="A3:D88"/>
  <sheetViews>
    <sheetView zoomScalePageLayoutView="0" workbookViewId="0" topLeftCell="A5">
      <selection activeCell="A7" sqref="A7:B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307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08">
        <v>105624.85</v>
      </c>
      <c r="D13" s="1309"/>
    </row>
    <row r="14" spans="1:4" ht="14.25">
      <c r="A14" s="471" t="s">
        <v>646</v>
      </c>
      <c r="B14" s="473"/>
      <c r="C14" s="1375">
        <v>593750.16</v>
      </c>
      <c r="D14" s="1376"/>
    </row>
    <row r="15" spans="1:4" ht="14.25">
      <c r="A15" s="470" t="s">
        <v>647</v>
      </c>
      <c r="B15" s="474"/>
      <c r="C15" s="1312">
        <v>602168.43</v>
      </c>
      <c r="D15" s="1313"/>
    </row>
    <row r="16" spans="1:4" ht="15">
      <c r="A16" s="475" t="s">
        <v>348</v>
      </c>
      <c r="B16" s="476"/>
      <c r="C16" s="1377">
        <f>C13+C14-C15</f>
        <v>97206.57999999996</v>
      </c>
      <c r="D16" s="1378"/>
    </row>
    <row r="17" spans="1:4" ht="14.25">
      <c r="A17" s="470" t="s">
        <v>498</v>
      </c>
      <c r="B17" s="474"/>
      <c r="C17" s="1407">
        <v>681826.69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120055.25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70338.31</v>
      </c>
    </row>
    <row r="27" spans="1:4" ht="24.75">
      <c r="A27" s="546" t="s">
        <v>14</v>
      </c>
      <c r="B27" s="397" t="s">
        <v>657</v>
      </c>
      <c r="C27" s="506"/>
      <c r="D27" s="507">
        <v>87931.99</v>
      </c>
    </row>
    <row r="28" spans="1:4" ht="21" customHeight="1">
      <c r="A28" s="492" t="s">
        <v>395</v>
      </c>
      <c r="B28" s="399"/>
      <c r="C28" s="508"/>
      <c r="D28" s="509">
        <v>6245.59</v>
      </c>
    </row>
    <row r="29" spans="1:4" ht="15.75" thickBot="1">
      <c r="A29" s="390" t="s">
        <v>799</v>
      </c>
      <c r="B29" s="397" t="s">
        <v>661</v>
      </c>
      <c r="C29" s="506"/>
      <c r="D29" s="507">
        <v>12228.64</v>
      </c>
    </row>
    <row r="30" spans="1:4" ht="15.75" thickBot="1">
      <c r="A30" s="805" t="s">
        <v>701</v>
      </c>
      <c r="B30" s="673"/>
      <c r="C30" s="1173"/>
      <c r="D30" s="1180">
        <v>296799.78</v>
      </c>
    </row>
    <row r="31" spans="1:4" ht="15.75" thickBot="1">
      <c r="A31" s="487" t="s">
        <v>914</v>
      </c>
      <c r="B31" s="980"/>
      <c r="C31" s="981"/>
      <c r="D31" s="797"/>
    </row>
    <row r="32" spans="1:4" ht="15.75" thickBot="1">
      <c r="A32" s="1177" t="s">
        <v>194</v>
      </c>
      <c r="B32" s="461"/>
      <c r="C32" s="462"/>
      <c r="D32" s="463"/>
    </row>
    <row r="33" spans="1:4" ht="24">
      <c r="A33" s="376" t="s">
        <v>109</v>
      </c>
      <c r="B33" s="514" t="s">
        <v>920</v>
      </c>
      <c r="C33" s="515" t="s">
        <v>673</v>
      </c>
      <c r="D33" s="516" t="s">
        <v>793</v>
      </c>
    </row>
    <row r="34" spans="1:4" ht="15.75">
      <c r="A34" s="547" t="s">
        <v>60</v>
      </c>
      <c r="B34" s="365" t="s">
        <v>478</v>
      </c>
      <c r="C34" s="421">
        <v>2</v>
      </c>
      <c r="D34" s="421">
        <v>2318.19</v>
      </c>
    </row>
    <row r="35" spans="1:4" ht="16.5" thickBot="1">
      <c r="A35" s="942" t="s">
        <v>11</v>
      </c>
      <c r="B35" s="365" t="s">
        <v>817</v>
      </c>
      <c r="C35" s="421">
        <v>1</v>
      </c>
      <c r="D35" s="532">
        <v>4196.42</v>
      </c>
    </row>
    <row r="36" spans="1:4" ht="16.5" thickBot="1">
      <c r="A36" s="829" t="s">
        <v>701</v>
      </c>
      <c r="B36" s="758"/>
      <c r="C36" s="439"/>
      <c r="D36" s="439">
        <v>11494.25</v>
      </c>
    </row>
    <row r="37" spans="1:4" ht="15.75" thickBot="1">
      <c r="A37" s="1045" t="s">
        <v>621</v>
      </c>
      <c r="B37" s="811"/>
      <c r="C37" s="803"/>
      <c r="D37" s="863">
        <v>18008.86</v>
      </c>
    </row>
    <row r="38" spans="1:4" ht="15">
      <c r="A38" s="389" t="s">
        <v>972</v>
      </c>
      <c r="B38" s="1042" t="s">
        <v>661</v>
      </c>
      <c r="C38" s="1043"/>
      <c r="D38" s="1044"/>
    </row>
    <row r="39" spans="1:4" ht="15">
      <c r="A39" s="389" t="s">
        <v>393</v>
      </c>
      <c r="B39" s="747"/>
      <c r="C39" s="490">
        <v>1</v>
      </c>
      <c r="D39" s="402">
        <v>26603</v>
      </c>
    </row>
    <row r="40" spans="1:4" ht="15">
      <c r="A40" s="389" t="s">
        <v>623</v>
      </c>
      <c r="B40" s="747"/>
      <c r="C40" s="490">
        <v>5</v>
      </c>
      <c r="D40" s="402">
        <v>3325</v>
      </c>
    </row>
    <row r="41" spans="1:4" ht="15">
      <c r="A41" s="389" t="s">
        <v>622</v>
      </c>
      <c r="B41" s="747" t="s">
        <v>478</v>
      </c>
      <c r="C41" s="490">
        <v>1</v>
      </c>
      <c r="D41" s="402">
        <v>295.3</v>
      </c>
    </row>
    <row r="42" spans="1:4" ht="15.75" thickBot="1">
      <c r="A42" s="843" t="s">
        <v>239</v>
      </c>
      <c r="B42" s="747" t="s">
        <v>211</v>
      </c>
      <c r="C42" s="490">
        <v>4</v>
      </c>
      <c r="D42" s="402">
        <v>16867.13</v>
      </c>
    </row>
    <row r="43" spans="1:4" ht="15.75" thickBot="1">
      <c r="A43" s="806" t="s">
        <v>901</v>
      </c>
      <c r="B43" s="758" t="s">
        <v>478</v>
      </c>
      <c r="C43" s="439">
        <v>4</v>
      </c>
      <c r="D43" s="541">
        <v>6408.56</v>
      </c>
    </row>
    <row r="44" spans="1:4" ht="15.75" thickBot="1">
      <c r="A44" s="465" t="s">
        <v>625</v>
      </c>
      <c r="B44" s="825"/>
      <c r="C44" s="803"/>
      <c r="D44" s="858">
        <v>53498.99</v>
      </c>
    </row>
    <row r="45" spans="1:4" ht="15">
      <c r="A45" s="177" t="s">
        <v>75</v>
      </c>
      <c r="B45" s="800" t="s">
        <v>211</v>
      </c>
      <c r="C45" s="441">
        <v>5</v>
      </c>
      <c r="D45" s="441">
        <v>59811.88</v>
      </c>
    </row>
    <row r="46" spans="1:4" ht="15">
      <c r="A46" s="359" t="s">
        <v>174</v>
      </c>
      <c r="B46" s="800" t="s">
        <v>478</v>
      </c>
      <c r="C46" s="441">
        <v>5</v>
      </c>
      <c r="D46" s="801">
        <v>9588.14</v>
      </c>
    </row>
    <row r="47" spans="1:4" ht="15">
      <c r="A47" s="377" t="s">
        <v>624</v>
      </c>
      <c r="B47" s="800" t="s">
        <v>478</v>
      </c>
      <c r="C47" s="441">
        <v>1</v>
      </c>
      <c r="D47" s="801">
        <v>299.32</v>
      </c>
    </row>
    <row r="48" spans="1:4" ht="15">
      <c r="A48" s="377" t="s">
        <v>690</v>
      </c>
      <c r="B48" s="800" t="s">
        <v>478</v>
      </c>
      <c r="C48" s="441">
        <v>2</v>
      </c>
      <c r="D48" s="801">
        <v>518.84</v>
      </c>
    </row>
    <row r="49" spans="1:4" ht="15">
      <c r="A49" s="377" t="s">
        <v>303</v>
      </c>
      <c r="B49" s="800" t="s">
        <v>478</v>
      </c>
      <c r="C49" s="441">
        <v>1</v>
      </c>
      <c r="D49" s="801">
        <v>486.55</v>
      </c>
    </row>
    <row r="50" spans="1:4" ht="15">
      <c r="A50" s="799" t="s">
        <v>197</v>
      </c>
      <c r="B50" s="1104"/>
      <c r="C50" s="836">
        <v>1</v>
      </c>
      <c r="D50" s="896">
        <v>2125.94</v>
      </c>
    </row>
    <row r="51" spans="1:4" ht="15.75" thickBot="1">
      <c r="A51" s="807"/>
      <c r="B51" s="1072"/>
      <c r="C51" s="439"/>
      <c r="D51" s="439"/>
    </row>
    <row r="52" spans="1:4" ht="15.75" thickBot="1">
      <c r="A52" s="806" t="s">
        <v>701</v>
      </c>
      <c r="B52" s="1178"/>
      <c r="C52" s="803"/>
      <c r="D52" s="841">
        <v>72830.47</v>
      </c>
    </row>
    <row r="53" spans="1:4" ht="15.75" thickBot="1">
      <c r="A53" s="808" t="s">
        <v>626</v>
      </c>
      <c r="B53" s="1178"/>
      <c r="C53" s="803"/>
      <c r="D53" s="841"/>
    </row>
    <row r="54" spans="1:4" ht="15">
      <c r="A54" s="377" t="s">
        <v>212</v>
      </c>
      <c r="B54" s="800" t="s">
        <v>81</v>
      </c>
      <c r="C54" s="441">
        <v>3</v>
      </c>
      <c r="D54" s="801">
        <v>5401.72</v>
      </c>
    </row>
    <row r="55" spans="1:4" ht="15.75" thickBot="1">
      <c r="A55" s="843" t="s">
        <v>882</v>
      </c>
      <c r="B55" s="1104"/>
      <c r="C55" s="836">
        <v>3</v>
      </c>
      <c r="D55" s="896">
        <v>12142.49</v>
      </c>
    </row>
    <row r="56" spans="1:4" ht="15.75" thickBot="1">
      <c r="A56" s="884" t="s">
        <v>701</v>
      </c>
      <c r="B56" s="1178"/>
      <c r="C56" s="907"/>
      <c r="D56" s="1240">
        <v>17544.21</v>
      </c>
    </row>
    <row r="57" spans="1:4" ht="15.75" thickBot="1">
      <c r="A57" s="223" t="s">
        <v>781</v>
      </c>
      <c r="B57" s="1178"/>
      <c r="C57" s="803"/>
      <c r="D57" s="804"/>
    </row>
    <row r="58" spans="1:4" ht="15">
      <c r="A58" s="377" t="s">
        <v>886</v>
      </c>
      <c r="B58" s="1179" t="s">
        <v>478</v>
      </c>
      <c r="C58" s="441">
        <v>9</v>
      </c>
      <c r="D58" s="947">
        <v>4950.64</v>
      </c>
    </row>
    <row r="59" spans="1:4" ht="15">
      <c r="A59" s="177" t="s">
        <v>584</v>
      </c>
      <c r="B59" s="761" t="s">
        <v>478</v>
      </c>
      <c r="C59" s="421">
        <v>8</v>
      </c>
      <c r="D59" s="555">
        <v>12643.19</v>
      </c>
    </row>
    <row r="60" spans="1:4" ht="15">
      <c r="A60" s="359" t="s">
        <v>585</v>
      </c>
      <c r="B60" s="761"/>
      <c r="C60" s="421">
        <v>7</v>
      </c>
      <c r="D60" s="422">
        <v>814.81</v>
      </c>
    </row>
    <row r="61" spans="1:4" ht="15.75" thickBot="1">
      <c r="A61" s="807" t="s">
        <v>627</v>
      </c>
      <c r="B61" s="758" t="s">
        <v>372</v>
      </c>
      <c r="C61" s="809">
        <v>2</v>
      </c>
      <c r="D61" s="425">
        <v>305.29</v>
      </c>
    </row>
    <row r="62" spans="1:4" ht="15.75" thickBot="1">
      <c r="A62" s="806" t="s">
        <v>1014</v>
      </c>
      <c r="B62" s="811"/>
      <c r="C62" s="812"/>
      <c r="D62" s="533">
        <v>18713.93</v>
      </c>
    </row>
    <row r="63" spans="1:4" ht="15.75" thickBot="1">
      <c r="A63" s="799"/>
      <c r="B63" s="811"/>
      <c r="C63" s="812"/>
      <c r="D63" s="815"/>
    </row>
    <row r="64" spans="1:4" ht="15.75" thickBot="1">
      <c r="A64" s="806" t="s">
        <v>375</v>
      </c>
      <c r="B64" s="834"/>
      <c r="C64" s="1074"/>
      <c r="D64" s="896"/>
    </row>
    <row r="65" spans="1:4" ht="15.75" thickBot="1">
      <c r="A65" s="799"/>
      <c r="B65" s="811"/>
      <c r="C65" s="803"/>
      <c r="D65" s="804"/>
    </row>
    <row r="66" spans="1:4" ht="15.75" thickBot="1">
      <c r="A66" s="806" t="s">
        <v>901</v>
      </c>
      <c r="B66" s="834"/>
      <c r="C66" s="836"/>
      <c r="D66" s="896"/>
    </row>
    <row r="67" spans="1:4" ht="15.75" thickBot="1">
      <c r="A67" s="377"/>
      <c r="B67" s="811"/>
      <c r="C67" s="803"/>
      <c r="D67" s="815"/>
    </row>
    <row r="68" spans="1:4" ht="15">
      <c r="A68" s="944" t="s">
        <v>743</v>
      </c>
      <c r="B68" s="570"/>
      <c r="C68" s="441"/>
      <c r="D68" s="1181">
        <v>26045.79</v>
      </c>
    </row>
    <row r="69" spans="1:4" ht="15">
      <c r="A69" s="944" t="s">
        <v>904</v>
      </c>
      <c r="B69" s="365"/>
      <c r="C69" s="421"/>
      <c r="D69" s="1098">
        <v>52460.96</v>
      </c>
    </row>
    <row r="70" spans="1:4" ht="15">
      <c r="A70" s="808" t="s">
        <v>787</v>
      </c>
      <c r="B70" s="365"/>
      <c r="C70" s="431"/>
      <c r="D70" s="891">
        <v>125923.7</v>
      </c>
    </row>
    <row r="71" spans="1:4" ht="15.75" thickBot="1">
      <c r="A71" s="526"/>
      <c r="B71" s="1065"/>
      <c r="C71" s="435"/>
      <c r="D71" s="1077"/>
    </row>
    <row r="72" spans="1:4" ht="15.75" thickBot="1">
      <c r="A72" s="806" t="s">
        <v>918</v>
      </c>
      <c r="B72" s="811"/>
      <c r="C72" s="907"/>
      <c r="D72" s="858">
        <v>681826.69</v>
      </c>
    </row>
    <row r="73" spans="1:4" ht="15.75" thickBot="1">
      <c r="A73" s="370"/>
      <c r="B73" s="811"/>
      <c r="C73" s="907"/>
      <c r="D73" s="826"/>
    </row>
    <row r="74" spans="1:4" ht="15">
      <c r="A74" s="370"/>
      <c r="B74" s="370"/>
      <c r="C74" s="370"/>
      <c r="D74" s="371"/>
    </row>
    <row r="75" spans="1:4" ht="14.25">
      <c r="A75" s="764"/>
      <c r="B75" s="358"/>
      <c r="C75" s="359"/>
      <c r="D75" s="1262"/>
    </row>
    <row r="76" spans="1:4" ht="15">
      <c r="A76" s="1251" t="s">
        <v>568</v>
      </c>
      <c r="B76" s="1257"/>
      <c r="C76" s="467"/>
      <c r="D76" s="467">
        <v>0</v>
      </c>
    </row>
    <row r="77" spans="1:4" ht="15">
      <c r="A77" s="1332" t="s">
        <v>569</v>
      </c>
      <c r="B77" s="1332"/>
      <c r="C77" s="628"/>
      <c r="D77" s="608">
        <v>602168.43</v>
      </c>
    </row>
    <row r="78" spans="1:4" ht="15">
      <c r="A78" s="1332" t="s">
        <v>570</v>
      </c>
      <c r="B78" s="1332"/>
      <c r="C78" s="607"/>
      <c r="D78" s="608">
        <v>681826.69</v>
      </c>
    </row>
    <row r="79" spans="1:4" ht="15">
      <c r="A79" s="1333" t="s">
        <v>571</v>
      </c>
      <c r="B79" s="1333"/>
      <c r="C79" s="629"/>
      <c r="D79" s="629">
        <v>79658.26</v>
      </c>
    </row>
    <row r="80" spans="1:4" ht="15">
      <c r="A80" s="1332" t="s">
        <v>179</v>
      </c>
      <c r="B80" s="1332"/>
      <c r="C80" s="1258"/>
      <c r="D80" s="630">
        <v>79658.26</v>
      </c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 t="s">
        <v>180</v>
      </c>
      <c r="B84" s="538"/>
      <c r="C84" s="1259" t="s">
        <v>573</v>
      </c>
      <c r="D84" s="1260"/>
    </row>
    <row r="85" spans="1:4" ht="15">
      <c r="A85" s="538"/>
      <c r="B85" s="538"/>
      <c r="C85" s="1259"/>
      <c r="D85" s="1260"/>
    </row>
    <row r="86" ht="12.75">
      <c r="A86" s="735" t="s">
        <v>357</v>
      </c>
    </row>
    <row r="87" ht="12.75">
      <c r="A87" s="735" t="s">
        <v>906</v>
      </c>
    </row>
    <row r="88" ht="12.75">
      <c r="A88" s="735" t="s">
        <v>358</v>
      </c>
    </row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77:B77"/>
    <mergeCell ref="A78:B78"/>
    <mergeCell ref="A79:B79"/>
    <mergeCell ref="A80:B80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0039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846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129944.85+439.58</f>
        <v>130384.43000000001</v>
      </c>
      <c r="E11" s="25">
        <v>19031.12</v>
      </c>
    </row>
    <row r="12" spans="2:5" ht="16.5" thickBot="1">
      <c r="B12" s="1398" t="s">
        <v>646</v>
      </c>
      <c r="C12" s="1399"/>
      <c r="D12" s="89">
        <f>508281.24+1285.12</f>
        <v>509566.36</v>
      </c>
      <c r="E12" s="5">
        <v>24425.28</v>
      </c>
    </row>
    <row r="13" spans="2:5" ht="16.5" thickBot="1">
      <c r="B13" s="1398" t="s">
        <v>647</v>
      </c>
      <c r="C13" s="1399"/>
      <c r="D13" s="5">
        <f>463981.35+2106.22</f>
        <v>466087.56999999995</v>
      </c>
      <c r="E13" s="5">
        <v>33365.57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18679.68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173863.2200000001</v>
      </c>
      <c r="E17" s="5">
        <f>E11+E12-E13</f>
        <v>10090.829999999994</v>
      </c>
    </row>
    <row r="18" spans="2:5" ht="16.5" thickBot="1">
      <c r="B18" s="1398" t="s">
        <v>806</v>
      </c>
      <c r="C18" s="1399"/>
      <c r="D18" s="75">
        <f>E24+E46</f>
        <v>494063.63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E25+E31+E33+E34+E44</f>
        <v>283420.62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116386.18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80311.21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65911.2</v>
      </c>
    </row>
    <row r="34" spans="2:5" ht="16.5" thickBot="1">
      <c r="B34" s="67" t="s">
        <v>931</v>
      </c>
      <c r="C34" s="264" t="s">
        <v>661</v>
      </c>
      <c r="D34" s="43"/>
      <c r="E34" s="230">
        <v>2792</v>
      </c>
    </row>
    <row r="35" spans="2:5" ht="16.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78.75" hidden="1" thickBot="1">
      <c r="B38" s="36" t="s">
        <v>790</v>
      </c>
      <c r="C38" s="65" t="s">
        <v>661</v>
      </c>
      <c r="D38" s="44"/>
      <c r="E38" s="174"/>
    </row>
    <row r="39" spans="2:5" ht="48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39.75" hidden="1" thickBot="1">
      <c r="B42" s="67" t="s">
        <v>670</v>
      </c>
      <c r="C42" s="64" t="s">
        <v>684</v>
      </c>
      <c r="D42" s="46"/>
      <c r="E42" s="240"/>
    </row>
    <row r="43" spans="2:5" ht="48" hidden="1" thickBot="1">
      <c r="B43" s="68" t="s">
        <v>800</v>
      </c>
      <c r="C43" s="65" t="s">
        <v>661</v>
      </c>
      <c r="D43" s="44"/>
      <c r="E43" s="174"/>
    </row>
    <row r="44" spans="2:5" ht="16.5" thickBot="1">
      <c r="B44" s="69" t="s">
        <v>685</v>
      </c>
      <c r="C44" s="212" t="s">
        <v>817</v>
      </c>
      <c r="D44" s="43" t="s">
        <v>801</v>
      </c>
      <c r="E44" s="231">
        <v>18020.03</v>
      </c>
    </row>
    <row r="45" spans="2:5" ht="32.25" hidden="1" thickBot="1">
      <c r="B45" s="70" t="s">
        <v>802</v>
      </c>
      <c r="C45" s="47"/>
      <c r="D45" s="44"/>
      <c r="E45" s="174"/>
    </row>
    <row r="46" spans="2:5" ht="20.25" thickBot="1">
      <c r="B46" s="14" t="s">
        <v>760</v>
      </c>
      <c r="C46" s="17"/>
      <c r="E46" s="263">
        <f>E58</f>
        <v>210643.01000000004</v>
      </c>
    </row>
    <row r="47" spans="2:5" ht="15.75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5">
      <c r="B48" s="217" t="s">
        <v>816</v>
      </c>
      <c r="C48" s="255" t="s">
        <v>661</v>
      </c>
      <c r="D48" s="149"/>
      <c r="E48" s="258">
        <v>45292.57</v>
      </c>
    </row>
    <row r="49" spans="2:5" ht="14.25">
      <c r="B49" s="188" t="s">
        <v>928</v>
      </c>
      <c r="C49" s="74" t="s">
        <v>661</v>
      </c>
      <c r="D49" s="153"/>
      <c r="E49" s="177">
        <f>181.45+1866.54</f>
        <v>2047.99</v>
      </c>
    </row>
    <row r="50" spans="2:5" ht="14.25">
      <c r="B50" s="151" t="s">
        <v>676</v>
      </c>
      <c r="C50" s="116"/>
      <c r="D50" s="153"/>
      <c r="E50" s="177"/>
    </row>
    <row r="51" spans="2:5" ht="14.25">
      <c r="B51" s="132" t="s">
        <v>883</v>
      </c>
      <c r="C51" s="74" t="s">
        <v>661</v>
      </c>
      <c r="D51" s="153"/>
      <c r="E51" s="179">
        <f>3463.48+63819.35</f>
        <v>67282.83</v>
      </c>
    </row>
    <row r="52" spans="2:5" ht="14.25">
      <c r="B52" s="157" t="s">
        <v>880</v>
      </c>
      <c r="C52" s="74" t="s">
        <v>661</v>
      </c>
      <c r="D52" s="153"/>
      <c r="E52" s="259">
        <f>4132.55</f>
        <v>4132.55</v>
      </c>
    </row>
    <row r="53" spans="2:5" ht="14.25">
      <c r="B53" s="157" t="s">
        <v>925</v>
      </c>
      <c r="C53" s="74" t="s">
        <v>661</v>
      </c>
      <c r="D53" s="153"/>
      <c r="E53" s="180">
        <f>48591.83</f>
        <v>48591.83</v>
      </c>
    </row>
    <row r="54" spans="2:5" ht="15">
      <c r="B54" s="151" t="s">
        <v>1025</v>
      </c>
      <c r="C54" s="118"/>
      <c r="D54" s="153"/>
      <c r="E54" s="191"/>
    </row>
    <row r="55" spans="2:5" ht="14.25">
      <c r="B55" s="159" t="s">
        <v>998</v>
      </c>
      <c r="C55" s="74" t="s">
        <v>661</v>
      </c>
      <c r="D55" s="153"/>
      <c r="E55" s="192">
        <f>37666.18+4432.58</f>
        <v>42098.76</v>
      </c>
    </row>
    <row r="56" spans="2:5" ht="14.25">
      <c r="B56" s="159" t="s">
        <v>929</v>
      </c>
      <c r="C56" s="74" t="s">
        <v>661</v>
      </c>
      <c r="D56" s="13"/>
      <c r="E56" s="85">
        <v>1196.48</v>
      </c>
    </row>
    <row r="57" spans="2:5" ht="12.75" hidden="1">
      <c r="B57" s="13"/>
      <c r="C57" s="13"/>
      <c r="D57" s="13"/>
      <c r="E57" s="85"/>
    </row>
    <row r="58" spans="2:5" ht="12.75" hidden="1">
      <c r="B58" s="117" t="s">
        <v>1014</v>
      </c>
      <c r="C58" s="13"/>
      <c r="D58" s="13"/>
      <c r="E58" s="256">
        <f>E48+E49+E51+E52+E53+E55+E56</f>
        <v>210643.01000000004</v>
      </c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1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  <row r="65" ht="12.75">
      <c r="E65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1">
      <selection activeCell="A54" sqref="A54"/>
    </sheetView>
  </sheetViews>
  <sheetFormatPr defaultColWidth="9.140625" defaultRowHeight="12.75"/>
  <cols>
    <col min="1" max="1" width="57.8515625" style="1" customWidth="1"/>
    <col min="2" max="2" width="12.57421875" style="1" customWidth="1"/>
    <col min="3" max="3" width="13.8515625" style="1" customWidth="1"/>
    <col min="4" max="4" width="15.57421875" style="1" customWidth="1"/>
  </cols>
  <sheetData>
    <row r="1" ht="12.75">
      <c r="C1" s="1" t="s">
        <v>792</v>
      </c>
    </row>
    <row r="2" spans="1:4" ht="22.5">
      <c r="A2" s="1331" t="s">
        <v>687</v>
      </c>
      <c r="B2" s="1331"/>
      <c r="C2" s="140"/>
      <c r="D2" s="140"/>
    </row>
    <row r="3" spans="1:4" ht="15.75">
      <c r="A3" s="1349" t="s">
        <v>803</v>
      </c>
      <c r="B3" s="1349"/>
      <c r="C3" s="91"/>
      <c r="D3" s="91"/>
    </row>
    <row r="4" spans="1:4" ht="15.75">
      <c r="A4" s="1349" t="s">
        <v>641</v>
      </c>
      <c r="B4" s="1349"/>
      <c r="C4" s="91"/>
      <c r="D4" s="91"/>
    </row>
    <row r="5" spans="1:4" ht="15.75">
      <c r="A5" s="1349" t="s">
        <v>877</v>
      </c>
      <c r="B5" s="1349"/>
      <c r="C5" s="91"/>
      <c r="D5" s="91"/>
    </row>
    <row r="6" spans="1:3" ht="18.75">
      <c r="A6" s="26"/>
      <c r="B6" s="26"/>
      <c r="C6"/>
    </row>
    <row r="7" spans="1:4" ht="15">
      <c r="A7" s="1343" t="s">
        <v>1006</v>
      </c>
      <c r="B7" s="1343"/>
      <c r="C7" s="139"/>
      <c r="D7" s="139"/>
    </row>
    <row r="8" spans="1:3" ht="13.5" thickBot="1">
      <c r="A8" s="4"/>
      <c r="B8"/>
      <c r="C8"/>
    </row>
    <row r="9" spans="1:4" ht="38.25">
      <c r="A9" s="1344" t="s">
        <v>642</v>
      </c>
      <c r="B9" s="1345"/>
      <c r="C9" s="22" t="s">
        <v>643</v>
      </c>
      <c r="D9" s="23" t="s">
        <v>649</v>
      </c>
    </row>
    <row r="10" spans="1:4" ht="13.5" thickBot="1">
      <c r="A10" s="1346"/>
      <c r="B10" s="1347"/>
      <c r="C10" s="24" t="s">
        <v>644</v>
      </c>
      <c r="D10" s="25" t="s">
        <v>645</v>
      </c>
    </row>
    <row r="11" spans="1:4" ht="15.75" thickBot="1">
      <c r="A11" s="134" t="s">
        <v>794</v>
      </c>
      <c r="B11" s="135"/>
      <c r="C11" s="135"/>
      <c r="D11" s="136"/>
    </row>
    <row r="12" spans="1:4" ht="15.75" thickBot="1">
      <c r="A12" s="1341" t="s">
        <v>646</v>
      </c>
      <c r="B12" s="1342"/>
      <c r="C12" s="137">
        <v>93371.5</v>
      </c>
      <c r="D12" s="136">
        <v>20764.5</v>
      </c>
    </row>
    <row r="13" spans="1:4" ht="15.75" thickBot="1">
      <c r="A13" s="1341" t="s">
        <v>647</v>
      </c>
      <c r="B13" s="1342"/>
      <c r="C13" s="135">
        <v>67054.19</v>
      </c>
      <c r="D13" s="136">
        <v>15630.48</v>
      </c>
    </row>
    <row r="14" spans="1:4" ht="15.75" hidden="1" thickBot="1">
      <c r="A14" s="1341" t="s">
        <v>666</v>
      </c>
      <c r="B14" s="1342"/>
      <c r="C14" s="135"/>
      <c r="D14" s="136"/>
    </row>
    <row r="15" spans="1:4" ht="15.75" thickBot="1">
      <c r="A15" s="1341" t="s">
        <v>648</v>
      </c>
      <c r="B15" s="1342"/>
      <c r="C15" s="135">
        <f>C11+C12-C13</f>
        <v>26317.309999999998</v>
      </c>
      <c r="D15" s="135">
        <f>D11+D12-D13</f>
        <v>5134.02</v>
      </c>
    </row>
    <row r="16" spans="1:4" ht="15.75" thickBot="1">
      <c r="A16" s="1341" t="s">
        <v>806</v>
      </c>
      <c r="B16" s="1342"/>
      <c r="C16" s="170">
        <f>D22+D27</f>
        <v>59189.189999999995</v>
      </c>
      <c r="D16" s="138"/>
    </row>
    <row r="17" spans="2:3" ht="12.75">
      <c r="B17" s="83"/>
      <c r="C17" s="81"/>
    </row>
    <row r="18" spans="1:4" ht="18.75">
      <c r="A18" s="1397" t="s">
        <v>650</v>
      </c>
      <c r="B18" s="1397"/>
      <c r="C18" s="1397"/>
      <c r="D18" s="1397"/>
    </row>
    <row r="19" spans="1:4" ht="18.75">
      <c r="A19" s="1397" t="s">
        <v>1009</v>
      </c>
      <c r="B19" s="1397"/>
      <c r="C19" s="1397"/>
      <c r="D19" s="1397"/>
    </row>
    <row r="20" spans="1:4" ht="13.5" thickBot="1">
      <c r="A20" s="82"/>
      <c r="B20" s="82"/>
      <c r="C20" s="103"/>
      <c r="D20" s="82"/>
    </row>
    <row r="21" spans="1:4" ht="26.25" thickBot="1">
      <c r="A21" s="64" t="s">
        <v>892</v>
      </c>
      <c r="B21" s="141" t="s">
        <v>667</v>
      </c>
      <c r="C21" s="142" t="s">
        <v>673</v>
      </c>
      <c r="D21" s="167" t="s">
        <v>793</v>
      </c>
    </row>
    <row r="22" spans="1:4" ht="16.5" thickBot="1">
      <c r="A22" s="143" t="s">
        <v>878</v>
      </c>
      <c r="B22" s="61"/>
      <c r="C22" s="144"/>
      <c r="D22" s="62">
        <f>D23+D24+D25+D26</f>
        <v>30577.969999999998</v>
      </c>
    </row>
    <row r="23" spans="1:4" ht="27" thickBot="1">
      <c r="A23" s="166" t="s">
        <v>662</v>
      </c>
      <c r="B23" s="64" t="s">
        <v>652</v>
      </c>
      <c r="C23" s="45"/>
      <c r="D23" s="208">
        <v>13056.56</v>
      </c>
    </row>
    <row r="24" spans="1:4" ht="27" thickBot="1">
      <c r="A24" s="67" t="s">
        <v>658</v>
      </c>
      <c r="B24" s="64" t="s">
        <v>657</v>
      </c>
      <c r="C24" s="45"/>
      <c r="D24" s="208">
        <v>3195.88</v>
      </c>
    </row>
    <row r="25" spans="1:4" ht="15.75" thickBot="1">
      <c r="A25" s="133" t="s">
        <v>654</v>
      </c>
      <c r="B25" s="48" t="s">
        <v>656</v>
      </c>
      <c r="C25" s="45" t="s">
        <v>801</v>
      </c>
      <c r="D25" s="208">
        <v>12153.72</v>
      </c>
    </row>
    <row r="26" spans="1:4" ht="15.75" thickBot="1">
      <c r="A26" s="147" t="s">
        <v>685</v>
      </c>
      <c r="B26" s="184" t="s">
        <v>817</v>
      </c>
      <c r="C26" s="45" t="s">
        <v>801</v>
      </c>
      <c r="D26" s="209">
        <v>2171.81</v>
      </c>
    </row>
    <row r="27" spans="1:4" ht="20.25" thickBot="1">
      <c r="A27" s="281" t="s">
        <v>760</v>
      </c>
      <c r="B27" s="184"/>
      <c r="C27" s="265"/>
      <c r="D27" s="231">
        <f>D43</f>
        <v>28611.219999999998</v>
      </c>
    </row>
    <row r="28" spans="1:4" ht="24.75" thickBot="1">
      <c r="A28" s="150" t="s">
        <v>672</v>
      </c>
      <c r="B28" s="15" t="s">
        <v>920</v>
      </c>
      <c r="C28" s="49" t="s">
        <v>673</v>
      </c>
      <c r="D28" s="176" t="s">
        <v>793</v>
      </c>
    </row>
    <row r="29" spans="1:4" ht="14.25">
      <c r="A29" s="188" t="s">
        <v>928</v>
      </c>
      <c r="B29" s="74" t="s">
        <v>661</v>
      </c>
      <c r="C29" s="153"/>
      <c r="D29" s="282">
        <f>3012</f>
        <v>3012</v>
      </c>
    </row>
    <row r="30" spans="1:4" s="8" customFormat="1" ht="15">
      <c r="A30" s="288" t="s">
        <v>44</v>
      </c>
      <c r="B30" s="289"/>
      <c r="C30" s="163"/>
      <c r="D30" s="290"/>
    </row>
    <row r="31" spans="1:4" s="8" customFormat="1" ht="15">
      <c r="A31" s="288" t="s">
        <v>43</v>
      </c>
      <c r="B31" s="289" t="s">
        <v>40</v>
      </c>
      <c r="C31" s="163">
        <v>1</v>
      </c>
      <c r="D31" s="291">
        <v>1065.61</v>
      </c>
    </row>
    <row r="32" spans="1:4" s="8" customFormat="1" ht="15">
      <c r="A32" s="288" t="s">
        <v>45</v>
      </c>
      <c r="B32" s="289" t="s">
        <v>40</v>
      </c>
      <c r="C32" s="163">
        <v>1</v>
      </c>
      <c r="D32" s="291">
        <v>1946.39</v>
      </c>
    </row>
    <row r="33" spans="1:4" ht="14.25">
      <c r="A33" s="151" t="s">
        <v>676</v>
      </c>
      <c r="B33" s="116"/>
      <c r="C33" s="153"/>
      <c r="D33" s="282"/>
    </row>
    <row r="34" spans="1:4" ht="14.25">
      <c r="A34" s="132" t="s">
        <v>883</v>
      </c>
      <c r="B34" s="74" t="s">
        <v>661</v>
      </c>
      <c r="C34" s="153"/>
      <c r="D34" s="179">
        <f>22618.42</f>
        <v>22618.42</v>
      </c>
    </row>
    <row r="35" spans="1:4" ht="15">
      <c r="A35" s="278" t="s">
        <v>39</v>
      </c>
      <c r="B35" s="118" t="s">
        <v>40</v>
      </c>
      <c r="C35" s="163">
        <v>11</v>
      </c>
      <c r="D35" s="283">
        <v>18749.92</v>
      </c>
    </row>
    <row r="36" spans="1:4" ht="15">
      <c r="A36" s="278" t="s">
        <v>41</v>
      </c>
      <c r="B36" s="118" t="s">
        <v>40</v>
      </c>
      <c r="C36" s="163">
        <v>3</v>
      </c>
      <c r="D36" s="283">
        <v>1781.88</v>
      </c>
    </row>
    <row r="37" spans="1:4" ht="15">
      <c r="A37" s="278" t="s">
        <v>42</v>
      </c>
      <c r="B37" s="118" t="s">
        <v>40</v>
      </c>
      <c r="C37" s="163">
        <v>3</v>
      </c>
      <c r="D37" s="283">
        <v>2086.62</v>
      </c>
    </row>
    <row r="38" spans="1:4" ht="14.25">
      <c r="A38" s="157" t="s">
        <v>880</v>
      </c>
      <c r="B38" s="74" t="s">
        <v>661</v>
      </c>
      <c r="C38" s="153"/>
      <c r="D38" s="179">
        <f>755.34</f>
        <v>755.34</v>
      </c>
    </row>
    <row r="39" spans="1:4" ht="15">
      <c r="A39" s="277" t="s">
        <v>5</v>
      </c>
      <c r="B39" s="118" t="s">
        <v>6</v>
      </c>
      <c r="C39" s="163">
        <v>1</v>
      </c>
      <c r="D39" s="283">
        <v>755.34</v>
      </c>
    </row>
    <row r="40" spans="1:4" ht="15">
      <c r="A40" s="151" t="s">
        <v>1025</v>
      </c>
      <c r="B40" s="118"/>
      <c r="C40" s="153"/>
      <c r="D40" s="191"/>
    </row>
    <row r="41" spans="1:4" ht="15.75" thickBot="1">
      <c r="A41" s="284" t="s">
        <v>3</v>
      </c>
      <c r="B41" s="285" t="s">
        <v>4</v>
      </c>
      <c r="C41" s="286">
        <v>1</v>
      </c>
      <c r="D41" s="287">
        <f>2225.46</f>
        <v>2225.46</v>
      </c>
    </row>
    <row r="42" spans="1:4" ht="12.75" hidden="1">
      <c r="A42" s="279"/>
      <c r="B42" s="279"/>
      <c r="C42" s="279"/>
      <c r="D42" s="280"/>
    </row>
    <row r="43" spans="1:4" ht="12.75" hidden="1">
      <c r="A43" s="117" t="s">
        <v>1014</v>
      </c>
      <c r="B43" s="13"/>
      <c r="C43" s="13"/>
      <c r="D43" s="256">
        <f>D29+D34+D38+D41</f>
        <v>28611.219999999998</v>
      </c>
    </row>
    <row r="44" spans="1:4" ht="12.75">
      <c r="A44" s="103"/>
      <c r="B44" s="11"/>
      <c r="C44" s="11"/>
      <c r="D44" s="207"/>
    </row>
    <row r="45" spans="1:4" ht="12.75">
      <c r="A45" s="103"/>
      <c r="B45" s="11"/>
      <c r="C45" s="11"/>
      <c r="D45" s="207"/>
    </row>
    <row r="46" spans="1:4" ht="12.75">
      <c r="A46" s="103"/>
      <c r="B46" s="11"/>
      <c r="C46" s="11"/>
      <c r="D46" s="207"/>
    </row>
    <row r="47" spans="1:4" ht="12.75">
      <c r="A47" s="103"/>
      <c r="B47" s="11"/>
      <c r="C47" s="11"/>
      <c r="D47" s="207"/>
    </row>
    <row r="48" spans="1:4" ht="15.75">
      <c r="A48" s="6" t="s">
        <v>830</v>
      </c>
      <c r="B48" s="6" t="s">
        <v>889</v>
      </c>
      <c r="D48" s="254"/>
    </row>
  </sheetData>
  <sheetProtection/>
  <mergeCells count="13">
    <mergeCell ref="A7:B7"/>
    <mergeCell ref="A9:B10"/>
    <mergeCell ref="A19:D19"/>
    <mergeCell ref="A12:B12"/>
    <mergeCell ref="A13:B13"/>
    <mergeCell ref="A14:B14"/>
    <mergeCell ref="A15:B15"/>
    <mergeCell ref="A16:B16"/>
    <mergeCell ref="A18:D18"/>
    <mergeCell ref="A2:B2"/>
    <mergeCell ref="A3:B3"/>
    <mergeCell ref="A4:B4"/>
    <mergeCell ref="A5:B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99CC"/>
  </sheetPr>
  <dimension ref="A3:G85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308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>
      <c r="A11" s="4"/>
      <c r="B11"/>
      <c r="C11"/>
      <c r="D11" s="8"/>
    </row>
    <row r="12" spans="1:4" ht="12.75" customHeight="1">
      <c r="A12" s="1366" t="s">
        <v>642</v>
      </c>
      <c r="B12" s="1367"/>
      <c r="C12" s="1366" t="s">
        <v>488</v>
      </c>
      <c r="D12" s="1367"/>
    </row>
    <row r="13" spans="1:4" ht="12.75">
      <c r="A13" s="1368"/>
      <c r="B13" s="1369"/>
      <c r="C13" s="1368"/>
      <c r="D13" s="1369"/>
    </row>
    <row r="14" spans="1:4" ht="15">
      <c r="A14" s="372" t="s">
        <v>347</v>
      </c>
      <c r="B14" s="472"/>
      <c r="C14" s="1308">
        <v>259236.57</v>
      </c>
      <c r="D14" s="1309"/>
    </row>
    <row r="15" spans="1:4" ht="14.25">
      <c r="A15" s="471" t="s">
        <v>646</v>
      </c>
      <c r="B15" s="473"/>
      <c r="C15" s="1375">
        <v>508281.24</v>
      </c>
      <c r="D15" s="1376"/>
    </row>
    <row r="16" spans="1:4" ht="14.25">
      <c r="A16" s="470" t="s">
        <v>647</v>
      </c>
      <c r="B16" s="474"/>
      <c r="C16" s="1312">
        <v>507236.4</v>
      </c>
      <c r="D16" s="1313"/>
    </row>
    <row r="17" spans="1:4" ht="15">
      <c r="A17" s="475" t="s">
        <v>348</v>
      </c>
      <c r="B17" s="476"/>
      <c r="C17" s="1377">
        <f>C14+C15-C16</f>
        <v>260281.41000000003</v>
      </c>
      <c r="D17" s="1378"/>
    </row>
    <row r="18" spans="1:4" ht="14.25">
      <c r="A18" s="470" t="s">
        <v>498</v>
      </c>
      <c r="B18" s="474"/>
      <c r="C18" s="1407">
        <v>502800.5</v>
      </c>
      <c r="D18" s="1408"/>
    </row>
    <row r="19" spans="1:4" ht="12.75">
      <c r="A19" s="82"/>
      <c r="B19" s="83"/>
      <c r="C19" s="83"/>
      <c r="D19" s="83"/>
    </row>
    <row r="20" spans="2:4" ht="12.75">
      <c r="B20" s="83"/>
      <c r="C20" s="81"/>
      <c r="D20" s="314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6.25" thickBot="1">
      <c r="A24" s="501" t="s">
        <v>892</v>
      </c>
      <c r="B24" s="502" t="s">
        <v>667</v>
      </c>
      <c r="C24" s="499" t="s">
        <v>673</v>
      </c>
      <c r="D24" s="503" t="s">
        <v>793</v>
      </c>
    </row>
    <row r="25" spans="1:4" ht="16.5" thickBot="1">
      <c r="A25" s="477" t="s">
        <v>913</v>
      </c>
      <c r="B25" s="504"/>
      <c r="C25" s="456"/>
      <c r="D25" s="676"/>
    </row>
    <row r="26" spans="1:4" ht="26.25">
      <c r="A26" s="546" t="s">
        <v>105</v>
      </c>
      <c r="B26" s="637" t="s">
        <v>652</v>
      </c>
      <c r="C26" s="536"/>
      <c r="D26" s="528">
        <v>105882.34</v>
      </c>
    </row>
    <row r="27" spans="1:4" ht="15">
      <c r="A27" s="492" t="s">
        <v>654</v>
      </c>
      <c r="B27" s="398" t="s">
        <v>656</v>
      </c>
      <c r="C27" s="398" t="s">
        <v>801</v>
      </c>
      <c r="D27" s="509">
        <v>62034.64</v>
      </c>
    </row>
    <row r="28" spans="1:4" ht="24.75">
      <c r="A28" s="546" t="s">
        <v>14</v>
      </c>
      <c r="B28" s="397" t="s">
        <v>657</v>
      </c>
      <c r="C28" s="506"/>
      <c r="D28" s="507">
        <v>77551.33</v>
      </c>
    </row>
    <row r="29" spans="1:4" ht="15">
      <c r="A29" s="492" t="s">
        <v>628</v>
      </c>
      <c r="B29" s="399"/>
      <c r="C29" s="508"/>
      <c r="D29" s="509">
        <v>5508.28</v>
      </c>
    </row>
    <row r="30" spans="1:4" ht="15">
      <c r="A30" s="492" t="s">
        <v>931</v>
      </c>
      <c r="B30" s="397" t="s">
        <v>661</v>
      </c>
      <c r="C30" s="506"/>
      <c r="D30" s="507">
        <v>656.2</v>
      </c>
    </row>
    <row r="31" spans="1:7" ht="15.75" thickBot="1">
      <c r="A31" s="510" t="s">
        <v>799</v>
      </c>
      <c r="B31" s="673" t="s">
        <v>661</v>
      </c>
      <c r="C31" s="617"/>
      <c r="D31" s="618">
        <v>14902.93</v>
      </c>
      <c r="G31" t="s">
        <v>465</v>
      </c>
    </row>
    <row r="32" spans="1:4" ht="15.75" thickBot="1">
      <c r="A32" s="805" t="s">
        <v>701</v>
      </c>
      <c r="B32" s="980"/>
      <c r="C32" s="981"/>
      <c r="D32" s="839">
        <v>266535.72</v>
      </c>
    </row>
    <row r="33" spans="1:4" ht="15.75" thickBot="1">
      <c r="A33" s="487" t="s">
        <v>914</v>
      </c>
      <c r="B33" s="461"/>
      <c r="C33" s="462"/>
      <c r="D33" s="463"/>
    </row>
    <row r="34" spans="1:4" ht="24">
      <c r="A34" s="943" t="s">
        <v>194</v>
      </c>
      <c r="B34" s="514" t="s">
        <v>920</v>
      </c>
      <c r="C34" s="515" t="s">
        <v>673</v>
      </c>
      <c r="D34" s="516" t="s">
        <v>793</v>
      </c>
    </row>
    <row r="35" spans="1:4" ht="15.75">
      <c r="A35" s="547" t="s">
        <v>11</v>
      </c>
      <c r="B35" s="358"/>
      <c r="C35" s="421"/>
      <c r="D35" s="421">
        <v>10137.32</v>
      </c>
    </row>
    <row r="36" spans="1:4" ht="15">
      <c r="A36" s="376" t="s">
        <v>109</v>
      </c>
      <c r="B36" s="365" t="s">
        <v>478</v>
      </c>
      <c r="C36" s="421">
        <v>1</v>
      </c>
      <c r="D36" s="532">
        <v>758.28</v>
      </c>
    </row>
    <row r="37" spans="1:4" ht="15.75">
      <c r="A37" s="547" t="s">
        <v>298</v>
      </c>
      <c r="B37" s="365"/>
      <c r="C37" s="421">
        <v>5</v>
      </c>
      <c r="D37" s="421">
        <v>7002.6</v>
      </c>
    </row>
    <row r="38" spans="1:4" ht="15">
      <c r="A38" s="359" t="s">
        <v>953</v>
      </c>
      <c r="B38" s="762"/>
      <c r="C38" s="421">
        <v>1</v>
      </c>
      <c r="D38" s="532">
        <v>1279.57</v>
      </c>
    </row>
    <row r="39" spans="1:4" ht="15">
      <c r="A39" s="807" t="s">
        <v>629</v>
      </c>
      <c r="B39" s="765"/>
      <c r="C39" s="616">
        <v>1</v>
      </c>
      <c r="D39" s="541">
        <v>2050.65</v>
      </c>
    </row>
    <row r="40" spans="1:4" ht="15.75" thickBot="1">
      <c r="A40" s="390" t="s">
        <v>230</v>
      </c>
      <c r="B40" s="748" t="s">
        <v>478</v>
      </c>
      <c r="C40" s="674">
        <v>1</v>
      </c>
      <c r="D40" s="459">
        <v>1629.48</v>
      </c>
    </row>
    <row r="41" spans="1:4" ht="15.75" thickBot="1">
      <c r="A41" s="806" t="s">
        <v>701</v>
      </c>
      <c r="B41" s="811"/>
      <c r="C41" s="803"/>
      <c r="D41" s="858">
        <v>22857.9</v>
      </c>
    </row>
    <row r="42" spans="1:4" ht="15">
      <c r="A42" s="808" t="s">
        <v>445</v>
      </c>
      <c r="B42" s="800"/>
      <c r="C42" s="441"/>
      <c r="D42" s="441"/>
    </row>
    <row r="43" spans="1:4" ht="15">
      <c r="A43" s="359" t="s">
        <v>972</v>
      </c>
      <c r="B43" s="365"/>
      <c r="C43" s="423">
        <v>1</v>
      </c>
      <c r="D43" s="555">
        <v>26603</v>
      </c>
    </row>
    <row r="44" spans="1:4" ht="15">
      <c r="A44" s="359" t="s">
        <v>239</v>
      </c>
      <c r="B44" s="365" t="s">
        <v>478</v>
      </c>
      <c r="C44" s="423">
        <v>1</v>
      </c>
      <c r="D44" s="555">
        <v>525.35</v>
      </c>
    </row>
    <row r="45" spans="1:4" ht="15">
      <c r="A45" s="359" t="s">
        <v>324</v>
      </c>
      <c r="B45" s="365" t="s">
        <v>211</v>
      </c>
      <c r="C45" s="421">
        <v>1</v>
      </c>
      <c r="D45" s="555">
        <v>507.35</v>
      </c>
    </row>
    <row r="46" spans="1:4" ht="15">
      <c r="A46" s="359" t="s">
        <v>552</v>
      </c>
      <c r="B46" s="365" t="s">
        <v>478</v>
      </c>
      <c r="C46" s="423">
        <v>1</v>
      </c>
      <c r="D46" s="422">
        <v>326.22</v>
      </c>
    </row>
    <row r="47" spans="1:4" ht="15">
      <c r="A47" s="359" t="s">
        <v>630</v>
      </c>
      <c r="B47" s="365"/>
      <c r="C47" s="423">
        <v>6</v>
      </c>
      <c r="D47" s="422">
        <v>4098.49</v>
      </c>
    </row>
    <row r="48" spans="1:4" ht="15.75" thickBot="1">
      <c r="A48" s="807" t="s">
        <v>224</v>
      </c>
      <c r="B48" s="758" t="s">
        <v>677</v>
      </c>
      <c r="C48" s="439">
        <v>1</v>
      </c>
      <c r="D48" s="424">
        <v>2184.68</v>
      </c>
    </row>
    <row r="49" spans="1:4" ht="15.75" thickBot="1">
      <c r="A49" s="806" t="s">
        <v>701</v>
      </c>
      <c r="B49" s="811"/>
      <c r="C49" s="803"/>
      <c r="D49" s="841">
        <v>34245.09</v>
      </c>
    </row>
    <row r="50" spans="1:4" ht="15">
      <c r="A50" s="808" t="s">
        <v>192</v>
      </c>
      <c r="B50" s="570"/>
      <c r="C50" s="441"/>
      <c r="D50" s="801"/>
    </row>
    <row r="51" spans="1:4" ht="15">
      <c r="A51" s="359" t="s">
        <v>479</v>
      </c>
      <c r="B51" s="365" t="s">
        <v>52</v>
      </c>
      <c r="C51" s="421">
        <v>6</v>
      </c>
      <c r="D51" s="422">
        <v>6580.82</v>
      </c>
    </row>
    <row r="52" spans="1:4" ht="15">
      <c r="A52" s="359" t="s">
        <v>1020</v>
      </c>
      <c r="B52" s="365" t="s">
        <v>478</v>
      </c>
      <c r="C52" s="421">
        <v>1</v>
      </c>
      <c r="D52" s="424">
        <v>498.87</v>
      </c>
    </row>
    <row r="53" spans="1:4" ht="15">
      <c r="A53" s="359" t="s">
        <v>207</v>
      </c>
      <c r="B53" s="365"/>
      <c r="C53" s="421">
        <v>1</v>
      </c>
      <c r="D53" s="424">
        <v>19807</v>
      </c>
    </row>
    <row r="54" spans="1:4" ht="15">
      <c r="A54" s="359" t="s">
        <v>882</v>
      </c>
      <c r="B54" s="365"/>
      <c r="C54" s="421">
        <v>3</v>
      </c>
      <c r="D54" s="424">
        <v>12523.59</v>
      </c>
    </row>
    <row r="55" spans="1:4" ht="15.75" thickBot="1">
      <c r="A55" s="807" t="s">
        <v>212</v>
      </c>
      <c r="B55" s="758" t="s">
        <v>81</v>
      </c>
      <c r="C55" s="439">
        <v>1</v>
      </c>
      <c r="D55" s="424">
        <v>2642.68</v>
      </c>
    </row>
    <row r="56" spans="1:4" ht="15.75" thickBot="1">
      <c r="A56" s="806" t="s">
        <v>631</v>
      </c>
      <c r="B56" s="811"/>
      <c r="C56" s="803"/>
      <c r="D56" s="841">
        <v>42052.96</v>
      </c>
    </row>
    <row r="57" spans="1:4" ht="15">
      <c r="A57" s="808" t="s">
        <v>12</v>
      </c>
      <c r="B57" s="570"/>
      <c r="C57" s="377"/>
      <c r="D57" s="896"/>
    </row>
    <row r="58" spans="1:4" ht="15">
      <c r="A58" s="359" t="s">
        <v>886</v>
      </c>
      <c r="B58" s="365" t="s">
        <v>478</v>
      </c>
      <c r="C58" s="615">
        <v>10</v>
      </c>
      <c r="D58" s="421">
        <v>5181.89</v>
      </c>
    </row>
    <row r="59" spans="1:4" ht="15.75" thickBot="1">
      <c r="A59" s="359" t="s">
        <v>584</v>
      </c>
      <c r="B59" s="365"/>
      <c r="C59" s="359">
        <v>2</v>
      </c>
      <c r="D59" s="424">
        <v>552.98</v>
      </c>
    </row>
    <row r="60" spans="1:4" ht="15.75" thickBot="1">
      <c r="A60" s="806" t="s">
        <v>701</v>
      </c>
      <c r="B60" s="811"/>
      <c r="C60" s="803"/>
      <c r="D60" s="841">
        <v>5734.87</v>
      </c>
    </row>
    <row r="61" spans="1:4" ht="15">
      <c r="A61" s="1081"/>
      <c r="B61" s="570"/>
      <c r="C61" s="441"/>
      <c r="D61" s="441"/>
    </row>
    <row r="62" spans="1:4" ht="15">
      <c r="A62" s="838" t="s">
        <v>458</v>
      </c>
      <c r="B62" s="365"/>
      <c r="C62" s="421"/>
      <c r="D62" s="428">
        <v>104890.82</v>
      </c>
    </row>
    <row r="63" spans="1:4" ht="15">
      <c r="A63" s="838"/>
      <c r="B63" s="365"/>
      <c r="C63" s="421"/>
      <c r="D63" s="421"/>
    </row>
    <row r="64" spans="1:4" ht="15">
      <c r="A64" s="359"/>
      <c r="B64" s="365"/>
      <c r="C64" s="421"/>
      <c r="D64" s="421"/>
    </row>
    <row r="65" spans="1:4" ht="15">
      <c r="A65" s="944" t="s">
        <v>743</v>
      </c>
      <c r="B65" s="365"/>
      <c r="C65" s="431"/>
      <c r="D65" s="891">
        <v>22971</v>
      </c>
    </row>
    <row r="66" spans="1:4" ht="15">
      <c r="A66" s="808" t="s">
        <v>904</v>
      </c>
      <c r="B66" s="757"/>
      <c r="C66" s="427"/>
      <c r="D66" s="428">
        <v>15542.85</v>
      </c>
    </row>
    <row r="67" spans="1:4" ht="15">
      <c r="A67" s="955" t="s">
        <v>735</v>
      </c>
      <c r="B67" s="365"/>
      <c r="C67" s="427"/>
      <c r="D67" s="869">
        <v>92860.11</v>
      </c>
    </row>
    <row r="68" spans="1:4" ht="15.75" thickBot="1">
      <c r="A68" s="526"/>
      <c r="B68" s="758"/>
      <c r="C68" s="435"/>
      <c r="D68" s="541"/>
    </row>
    <row r="69" spans="1:4" ht="15.75" thickBot="1">
      <c r="A69" s="806" t="s">
        <v>918</v>
      </c>
      <c r="B69" s="957"/>
      <c r="C69" s="907"/>
      <c r="D69" s="858">
        <v>502800.5</v>
      </c>
    </row>
    <row r="70" spans="1:4" ht="15">
      <c r="A70" s="370"/>
      <c r="B70" s="370"/>
      <c r="C70" s="370"/>
      <c r="D70" s="371"/>
    </row>
    <row r="71" spans="1:4" ht="15">
      <c r="A71" s="370"/>
      <c r="B71" s="370"/>
      <c r="C71" s="370"/>
      <c r="D71" s="371"/>
    </row>
    <row r="72" spans="1:4" ht="14.25">
      <c r="A72" s="764"/>
      <c r="B72" s="358"/>
      <c r="C72" s="359"/>
      <c r="D72" s="1262"/>
    </row>
    <row r="73" spans="1:4" ht="15">
      <c r="A73" s="1251" t="s">
        <v>568</v>
      </c>
      <c r="B73" s="1257"/>
      <c r="C73" s="467"/>
      <c r="D73" s="467">
        <v>0</v>
      </c>
    </row>
    <row r="74" spans="1:4" ht="15">
      <c r="A74" s="1332" t="s">
        <v>569</v>
      </c>
      <c r="B74" s="1332"/>
      <c r="C74" s="628"/>
      <c r="D74" s="608">
        <v>507236.4</v>
      </c>
    </row>
    <row r="75" spans="1:4" ht="15">
      <c r="A75" s="1332" t="s">
        <v>570</v>
      </c>
      <c r="B75" s="1332"/>
      <c r="C75" s="607"/>
      <c r="D75" s="608">
        <v>502800.5</v>
      </c>
    </row>
    <row r="76" spans="1:4" ht="15">
      <c r="A76" s="1333" t="s">
        <v>571</v>
      </c>
      <c r="B76" s="1333"/>
      <c r="C76" s="629"/>
      <c r="D76" s="629">
        <v>-4435.9</v>
      </c>
    </row>
    <row r="77" spans="1:4" ht="15">
      <c r="A77" s="1332" t="s">
        <v>179</v>
      </c>
      <c r="B77" s="1332"/>
      <c r="C77" s="1258"/>
      <c r="D77" s="630">
        <v>-4435.9</v>
      </c>
    </row>
    <row r="78" spans="1:4" ht="15">
      <c r="A78" s="538"/>
      <c r="B78" s="538"/>
      <c r="C78" s="1259"/>
      <c r="D78" s="1260"/>
    </row>
    <row r="79" spans="1:4" ht="15">
      <c r="A79" s="538"/>
      <c r="B79" s="538"/>
      <c r="C79" s="1259"/>
      <c r="D79" s="1260"/>
    </row>
    <row r="80" spans="1:4" ht="15">
      <c r="A80" s="538"/>
      <c r="B80" s="538"/>
      <c r="C80" s="1259"/>
      <c r="D80" s="1260"/>
    </row>
    <row r="81" spans="1:4" ht="15">
      <c r="A81" s="538" t="s">
        <v>180</v>
      </c>
      <c r="B81" s="538"/>
      <c r="C81" s="1259" t="s">
        <v>573</v>
      </c>
      <c r="D81" s="1260"/>
    </row>
    <row r="82" spans="1:4" ht="15">
      <c r="A82" s="538"/>
      <c r="B82" s="538"/>
      <c r="C82" s="1259"/>
      <c r="D82" s="1260"/>
    </row>
    <row r="83" ht="12.75">
      <c r="A83" s="735" t="s">
        <v>357</v>
      </c>
    </row>
    <row r="84" ht="12.75">
      <c r="A84" s="735" t="s">
        <v>906</v>
      </c>
    </row>
    <row r="85" ht="12.75">
      <c r="A85" s="735" t="s">
        <v>358</v>
      </c>
    </row>
  </sheetData>
  <sheetProtection/>
  <mergeCells count="18">
    <mergeCell ref="A9:B9"/>
    <mergeCell ref="A12:B13"/>
    <mergeCell ref="A4:B4"/>
    <mergeCell ref="A5:B5"/>
    <mergeCell ref="A6:B6"/>
    <mergeCell ref="A7:B7"/>
    <mergeCell ref="C12:D13"/>
    <mergeCell ref="C14:D14"/>
    <mergeCell ref="A21:D21"/>
    <mergeCell ref="A22:D22"/>
    <mergeCell ref="C15:D15"/>
    <mergeCell ref="C16:D16"/>
    <mergeCell ref="C17:D17"/>
    <mergeCell ref="C18:D18"/>
    <mergeCell ref="A74:B74"/>
    <mergeCell ref="A75:B75"/>
    <mergeCell ref="A76:B76"/>
    <mergeCell ref="A77:B7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99CC"/>
  </sheetPr>
  <dimension ref="A1:D76"/>
  <sheetViews>
    <sheetView zoomScalePageLayoutView="0" workbookViewId="0" topLeftCell="A6">
      <selection activeCell="A24" sqref="A24:D24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4.7109375" style="1" customWidth="1"/>
    <col min="4" max="4" width="14.421875" style="1" customWidth="1"/>
    <col min="5" max="6" width="0" style="0" hidden="1" customWidth="1"/>
  </cols>
  <sheetData>
    <row r="1" spans="1:4" ht="14.25" hidden="1">
      <c r="A1" s="306" t="s">
        <v>215</v>
      </c>
      <c r="B1" s="305"/>
      <c r="C1" s="299">
        <v>7</v>
      </c>
      <c r="D1" s="334">
        <v>0</v>
      </c>
    </row>
    <row r="2" spans="1:4" ht="14.25" hidden="1">
      <c r="A2" s="306" t="s">
        <v>228</v>
      </c>
      <c r="B2" s="305"/>
      <c r="C2" s="299"/>
      <c r="D2" s="334">
        <v>0</v>
      </c>
    </row>
    <row r="3" spans="1:4" ht="14.25" hidden="1">
      <c r="A3" s="306" t="s">
        <v>169</v>
      </c>
      <c r="B3" s="305" t="s">
        <v>170</v>
      </c>
      <c r="C3" s="299">
        <v>1</v>
      </c>
      <c r="D3" s="334">
        <v>0</v>
      </c>
    </row>
    <row r="4" spans="1:4" ht="14.25" hidden="1">
      <c r="A4" s="306" t="s">
        <v>171</v>
      </c>
      <c r="B4" s="305"/>
      <c r="C4" s="299"/>
      <c r="D4" s="334">
        <v>0</v>
      </c>
    </row>
    <row r="5" spans="1:4" ht="14.25" hidden="1">
      <c r="A5" s="306" t="s">
        <v>177</v>
      </c>
      <c r="B5" s="305"/>
      <c r="C5" s="299">
        <v>4</v>
      </c>
      <c r="D5" s="334">
        <v>0</v>
      </c>
    </row>
    <row r="8" ht="12.75">
      <c r="D8" s="1" t="s">
        <v>792</v>
      </c>
    </row>
    <row r="9" spans="1:4" ht="22.5">
      <c r="A9" s="1331" t="s">
        <v>687</v>
      </c>
      <c r="B9" s="1331"/>
      <c r="C9" s="140"/>
      <c r="D9" s="140"/>
    </row>
    <row r="10" spans="1:4" ht="15.75">
      <c r="A10" s="1363" t="s">
        <v>497</v>
      </c>
      <c r="B10" s="1363"/>
      <c r="C10" s="91"/>
      <c r="D10" s="91"/>
    </row>
    <row r="11" spans="1:4" ht="15.75">
      <c r="A11" s="1363" t="s">
        <v>641</v>
      </c>
      <c r="B11" s="1363"/>
      <c r="C11" s="91"/>
      <c r="D11" s="91"/>
    </row>
    <row r="12" spans="1:4" ht="15.75">
      <c r="A12" s="1363" t="s">
        <v>804</v>
      </c>
      <c r="B12" s="1363"/>
      <c r="C12" s="91"/>
      <c r="D12" s="91"/>
    </row>
    <row r="13" spans="1:3" ht="9.75" customHeight="1">
      <c r="A13" s="26"/>
      <c r="B13" s="26"/>
      <c r="C13"/>
    </row>
    <row r="14" spans="1:4" ht="15">
      <c r="A14" s="1343" t="s">
        <v>309</v>
      </c>
      <c r="B14" s="1343"/>
      <c r="C14" s="139"/>
      <c r="D14" s="139"/>
    </row>
    <row r="15" spans="1:4" ht="12.75" customHeight="1">
      <c r="A15" s="1366" t="s">
        <v>642</v>
      </c>
      <c r="B15" s="1367"/>
      <c r="C15" s="374" t="s">
        <v>643</v>
      </c>
      <c r="D15" s="718"/>
    </row>
    <row r="16" spans="1:4" ht="12.75">
      <c r="A16" s="1420"/>
      <c r="B16" s="1409"/>
      <c r="C16" s="375" t="s">
        <v>68</v>
      </c>
      <c r="D16" s="373"/>
    </row>
    <row r="17" spans="1:4" ht="12.75">
      <c r="A17" s="557"/>
      <c r="B17" s="597"/>
      <c r="C17" s="375" t="s">
        <v>1022</v>
      </c>
      <c r="D17" s="373"/>
    </row>
    <row r="18" spans="1:4" ht="12.75">
      <c r="A18" s="556"/>
      <c r="B18" s="591"/>
      <c r="C18" s="559" t="s">
        <v>562</v>
      </c>
      <c r="D18" s="373"/>
    </row>
    <row r="19" spans="1:4" ht="15">
      <c r="A19" s="582" t="s">
        <v>347</v>
      </c>
      <c r="B19" s="583"/>
      <c r="C19" s="612">
        <v>-104273.3</v>
      </c>
      <c r="D19" s="722"/>
    </row>
    <row r="20" spans="1:4" ht="15">
      <c r="A20" s="471" t="s">
        <v>486</v>
      </c>
      <c r="B20" s="473"/>
      <c r="C20" s="606">
        <v>251673.32</v>
      </c>
      <c r="D20" s="723"/>
    </row>
    <row r="21" spans="1:4" ht="15">
      <c r="A21" s="470" t="s">
        <v>647</v>
      </c>
      <c r="B21" s="474"/>
      <c r="C21" s="613">
        <v>83982.42</v>
      </c>
      <c r="D21" s="749"/>
    </row>
    <row r="22" spans="1:4" ht="15">
      <c r="A22" s="475" t="s">
        <v>348</v>
      </c>
      <c r="B22" s="476"/>
      <c r="C22" s="614">
        <f>C19+C20-C21</f>
        <v>63417.60000000002</v>
      </c>
      <c r="D22" s="743"/>
    </row>
    <row r="23" spans="1:4" ht="15">
      <c r="A23" s="470" t="s">
        <v>498</v>
      </c>
      <c r="B23" s="474"/>
      <c r="C23" s="1256">
        <v>259985.42</v>
      </c>
      <c r="D23" s="723"/>
    </row>
    <row r="24" spans="1:4" ht="15.75">
      <c r="A24" s="1340" t="s">
        <v>650</v>
      </c>
      <c r="B24" s="1340"/>
      <c r="C24" s="1340"/>
      <c r="D24" s="1340"/>
    </row>
    <row r="25" spans="1:4" ht="15.75">
      <c r="A25" s="1340" t="s">
        <v>346</v>
      </c>
      <c r="B25" s="1340"/>
      <c r="C25" s="1340"/>
      <c r="D25" s="1340"/>
    </row>
    <row r="26" spans="1:4" ht="12.75">
      <c r="A26" s="82"/>
      <c r="B26" s="82"/>
      <c r="C26" s="103"/>
      <c r="D26" s="82"/>
    </row>
    <row r="27" spans="1:4" ht="26.25" thickBot="1">
      <c r="A27" s="501" t="s">
        <v>892</v>
      </c>
      <c r="B27" s="502" t="s">
        <v>667</v>
      </c>
      <c r="C27" s="499" t="s">
        <v>673</v>
      </c>
      <c r="D27" s="503" t="s">
        <v>793</v>
      </c>
    </row>
    <row r="28" spans="1:4" ht="16.5" thickBot="1">
      <c r="A28" s="477" t="s">
        <v>913</v>
      </c>
      <c r="B28" s="504"/>
      <c r="C28" s="456"/>
      <c r="D28" s="676"/>
    </row>
    <row r="29" spans="1:4" ht="26.25">
      <c r="A29" s="546" t="s">
        <v>105</v>
      </c>
      <c r="B29" s="637" t="s">
        <v>652</v>
      </c>
      <c r="C29" s="536"/>
      <c r="D29" s="528">
        <v>56478.97</v>
      </c>
    </row>
    <row r="30" spans="1:4" ht="15">
      <c r="A30" s="492" t="s">
        <v>654</v>
      </c>
      <c r="B30" s="398" t="s">
        <v>656</v>
      </c>
      <c r="C30" s="398" t="s">
        <v>801</v>
      </c>
      <c r="D30" s="509">
        <v>33090.06</v>
      </c>
    </row>
    <row r="31" spans="1:4" ht="24.75">
      <c r="A31" s="546" t="s">
        <v>14</v>
      </c>
      <c r="B31" s="397" t="s">
        <v>657</v>
      </c>
      <c r="C31" s="506"/>
      <c r="D31" s="507">
        <v>41366.86</v>
      </c>
    </row>
    <row r="32" spans="1:4" ht="15">
      <c r="A32" s="389" t="s">
        <v>799</v>
      </c>
      <c r="B32" s="505" t="s">
        <v>661</v>
      </c>
      <c r="C32" s="400"/>
      <c r="D32" s="393">
        <v>19239</v>
      </c>
    </row>
    <row r="33" spans="1:4" ht="15.75" thickBot="1">
      <c r="A33" s="390" t="s">
        <v>628</v>
      </c>
      <c r="B33" s="1099" t="s">
        <v>661</v>
      </c>
      <c r="C33" s="674"/>
      <c r="D33" s="459">
        <v>4778.18</v>
      </c>
    </row>
    <row r="34" spans="1:4" ht="15.75" thickBot="1">
      <c r="A34" s="805" t="s">
        <v>701</v>
      </c>
      <c r="B34" s="980"/>
      <c r="C34" s="981"/>
      <c r="D34" s="839">
        <v>154953.07</v>
      </c>
    </row>
    <row r="35" spans="1:4" ht="15.75" thickBot="1">
      <c r="A35" s="487" t="s">
        <v>607</v>
      </c>
      <c r="B35" s="461"/>
      <c r="C35" s="462"/>
      <c r="D35" s="463"/>
    </row>
    <row r="36" spans="1:4" ht="15">
      <c r="A36" s="944" t="s">
        <v>429</v>
      </c>
      <c r="B36" s="544"/>
      <c r="C36" s="421"/>
      <c r="D36" s="441"/>
    </row>
    <row r="37" spans="1:4" ht="16.5" thickBot="1">
      <c r="A37" s="942" t="s">
        <v>11</v>
      </c>
      <c r="B37" s="381"/>
      <c r="C37" s="439"/>
      <c r="D37" s="439">
        <v>5640.86</v>
      </c>
    </row>
    <row r="38" spans="1:4" ht="15.75" thickBot="1">
      <c r="A38" s="806" t="s">
        <v>701</v>
      </c>
      <c r="B38" s="957"/>
      <c r="C38" s="803"/>
      <c r="D38" s="858">
        <v>5640.86</v>
      </c>
    </row>
    <row r="39" spans="1:4" ht="13.5" customHeight="1">
      <c r="A39" s="465" t="s">
        <v>445</v>
      </c>
      <c r="B39" s="800"/>
      <c r="C39" s="441"/>
      <c r="D39" s="441"/>
    </row>
    <row r="40" spans="1:4" ht="13.5" customHeight="1">
      <c r="A40" s="377" t="s">
        <v>972</v>
      </c>
      <c r="B40" s="756"/>
      <c r="C40" s="421"/>
      <c r="D40" s="422">
        <v>26603</v>
      </c>
    </row>
    <row r="41" spans="1:4" ht="13.5" customHeight="1">
      <c r="A41" s="377" t="s">
        <v>64</v>
      </c>
      <c r="B41" s="756" t="s">
        <v>427</v>
      </c>
      <c r="C41" s="421">
        <v>1</v>
      </c>
      <c r="D41" s="422">
        <v>337.08</v>
      </c>
    </row>
    <row r="42" spans="1:4" ht="13.5" customHeight="1">
      <c r="A42" s="377" t="s">
        <v>455</v>
      </c>
      <c r="B42" s="756"/>
      <c r="C42" s="421">
        <v>2</v>
      </c>
      <c r="D42" s="422">
        <v>973.69</v>
      </c>
    </row>
    <row r="43" spans="1:4" ht="13.5" customHeight="1">
      <c r="A43" s="377" t="s">
        <v>239</v>
      </c>
      <c r="B43" s="756" t="s">
        <v>40</v>
      </c>
      <c r="C43" s="421">
        <v>1</v>
      </c>
      <c r="D43" s="422">
        <v>861.55</v>
      </c>
    </row>
    <row r="44" spans="1:4" ht="13.5" customHeight="1" thickBot="1">
      <c r="A44" s="799" t="s">
        <v>225</v>
      </c>
      <c r="B44" s="1137" t="s">
        <v>52</v>
      </c>
      <c r="C44" s="439">
        <v>1</v>
      </c>
      <c r="D44" s="424">
        <v>2892.32</v>
      </c>
    </row>
    <row r="45" spans="1:4" ht="13.5" customHeight="1" thickBot="1">
      <c r="A45" s="806" t="s">
        <v>701</v>
      </c>
      <c r="B45" s="1178"/>
      <c r="C45" s="803"/>
      <c r="D45" s="841">
        <v>31667.64</v>
      </c>
    </row>
    <row r="46" spans="1:4" ht="13.5" customHeight="1">
      <c r="A46" s="465" t="s">
        <v>634</v>
      </c>
      <c r="B46" s="800"/>
      <c r="C46" s="441"/>
      <c r="D46" s="801"/>
    </row>
    <row r="47" spans="1:4" ht="13.5" customHeight="1">
      <c r="A47" s="377" t="s">
        <v>479</v>
      </c>
      <c r="B47" s="800" t="s">
        <v>52</v>
      </c>
      <c r="C47" s="441">
        <v>4</v>
      </c>
      <c r="D47" s="801">
        <v>2807.96</v>
      </c>
    </row>
    <row r="48" spans="1:4" ht="13.5" customHeight="1">
      <c r="A48" s="377" t="s">
        <v>212</v>
      </c>
      <c r="B48" s="800" t="s">
        <v>81</v>
      </c>
      <c r="C48" s="441">
        <v>1</v>
      </c>
      <c r="D48" s="801">
        <v>1247.17</v>
      </c>
    </row>
    <row r="49" spans="1:4" ht="13.5" customHeight="1">
      <c r="A49" s="377" t="s">
        <v>196</v>
      </c>
      <c r="B49" s="756"/>
      <c r="C49" s="421">
        <v>3</v>
      </c>
      <c r="D49" s="422">
        <v>1439.27</v>
      </c>
    </row>
    <row r="50" spans="1:4" ht="13.5" customHeight="1" thickBot="1">
      <c r="A50" s="799" t="s">
        <v>1020</v>
      </c>
      <c r="B50" s="1137" t="s">
        <v>40</v>
      </c>
      <c r="C50" s="439">
        <v>1</v>
      </c>
      <c r="D50" s="424">
        <v>698.42</v>
      </c>
    </row>
    <row r="51" spans="1:4" ht="13.5" customHeight="1" thickBot="1">
      <c r="A51" s="806" t="s">
        <v>701</v>
      </c>
      <c r="B51" s="1178"/>
      <c r="C51" s="803"/>
      <c r="D51" s="841">
        <v>6192.82</v>
      </c>
    </row>
    <row r="52" spans="1:4" ht="15.75" thickBot="1">
      <c r="A52" s="799"/>
      <c r="B52" s="1145"/>
      <c r="C52" s="1074"/>
      <c r="D52" s="810"/>
    </row>
    <row r="53" spans="1:4" ht="15.75" thickBot="1">
      <c r="A53" s="901" t="s">
        <v>458</v>
      </c>
      <c r="B53" s="1223"/>
      <c r="C53" s="803"/>
      <c r="D53" s="841">
        <v>43501.32</v>
      </c>
    </row>
    <row r="54" spans="1:4" ht="15">
      <c r="A54" s="377"/>
      <c r="B54" s="570"/>
      <c r="C54" s="377"/>
      <c r="D54" s="896"/>
    </row>
    <row r="55" spans="1:4" ht="15">
      <c r="A55" s="944" t="s">
        <v>633</v>
      </c>
      <c r="B55" s="365"/>
      <c r="C55" s="421"/>
      <c r="D55" s="1098">
        <v>12253.02</v>
      </c>
    </row>
    <row r="56" spans="1:4" ht="15">
      <c r="A56" s="808" t="s">
        <v>904</v>
      </c>
      <c r="B56" s="365"/>
      <c r="C56" s="421"/>
      <c r="D56" s="1098">
        <v>1262.4</v>
      </c>
    </row>
    <row r="57" spans="1:4" ht="15">
      <c r="A57" s="944" t="s">
        <v>735</v>
      </c>
      <c r="B57" s="365"/>
      <c r="C57" s="421"/>
      <c r="D57" s="1098">
        <v>48015.61</v>
      </c>
    </row>
    <row r="58" spans="1:4" ht="15.75" thickBot="1">
      <c r="A58" s="807"/>
      <c r="B58" s="758"/>
      <c r="C58" s="948"/>
      <c r="D58" s="425"/>
    </row>
    <row r="59" spans="1:4" ht="15.75" thickBot="1">
      <c r="A59" s="806" t="s">
        <v>918</v>
      </c>
      <c r="B59" s="811"/>
      <c r="C59" s="803"/>
      <c r="D59" s="841">
        <v>259985.42</v>
      </c>
    </row>
    <row r="60" spans="1:4" ht="15">
      <c r="A60" s="531"/>
      <c r="B60" s="440"/>
      <c r="C60" s="750"/>
      <c r="D60" s="713"/>
    </row>
    <row r="61" spans="1:4" ht="15">
      <c r="A61" s="370"/>
      <c r="B61" s="370"/>
      <c r="C61" s="370"/>
      <c r="D61" s="371"/>
    </row>
    <row r="62" spans="1:4" ht="15">
      <c r="A62" s="370"/>
      <c r="B62" s="370"/>
      <c r="C62" s="370"/>
      <c r="D62" s="371"/>
    </row>
    <row r="63" spans="1:4" ht="14.25">
      <c r="A63" s="764"/>
      <c r="B63" s="358"/>
      <c r="C63" s="359"/>
      <c r="D63" s="1262"/>
    </row>
    <row r="64" spans="1:4" ht="15">
      <c r="A64" s="1251" t="s">
        <v>568</v>
      </c>
      <c r="B64" s="1257"/>
      <c r="C64" s="467"/>
      <c r="D64" s="467">
        <v>0</v>
      </c>
    </row>
    <row r="65" spans="1:4" ht="15">
      <c r="A65" s="1332" t="s">
        <v>569</v>
      </c>
      <c r="B65" s="1332"/>
      <c r="C65" s="628"/>
      <c r="D65" s="608">
        <v>188255.72</v>
      </c>
    </row>
    <row r="66" spans="1:4" ht="15">
      <c r="A66" s="1332" t="s">
        <v>570</v>
      </c>
      <c r="B66" s="1332"/>
      <c r="C66" s="607"/>
      <c r="D66" s="608">
        <v>259985.42</v>
      </c>
    </row>
    <row r="67" spans="1:4" ht="15">
      <c r="A67" s="1333" t="s">
        <v>571</v>
      </c>
      <c r="B67" s="1333"/>
      <c r="C67" s="629"/>
      <c r="D67" s="629">
        <v>71729.7</v>
      </c>
    </row>
    <row r="68" spans="1:4" ht="15">
      <c r="A68" s="1332" t="s">
        <v>179</v>
      </c>
      <c r="B68" s="1332"/>
      <c r="C68" s="1258"/>
      <c r="D68" s="630">
        <v>71729.7</v>
      </c>
    </row>
    <row r="69" spans="1:4" ht="15">
      <c r="A69" s="538"/>
      <c r="B69" s="538"/>
      <c r="C69" s="1259"/>
      <c r="D69" s="1260"/>
    </row>
    <row r="70" spans="1:4" ht="15">
      <c r="A70" s="538"/>
      <c r="B70" s="538"/>
      <c r="C70" s="1259"/>
      <c r="D70" s="1260"/>
    </row>
    <row r="71" spans="1:4" ht="15">
      <c r="A71" s="538"/>
      <c r="B71" s="538"/>
      <c r="C71" s="1259"/>
      <c r="D71" s="1260"/>
    </row>
    <row r="72" spans="1:4" ht="15">
      <c r="A72" s="538" t="s">
        <v>180</v>
      </c>
      <c r="B72" s="538"/>
      <c r="C72" s="1259" t="s">
        <v>573</v>
      </c>
      <c r="D72" s="1260"/>
    </row>
    <row r="73" spans="1:4" ht="15">
      <c r="A73" s="538"/>
      <c r="B73" s="538"/>
      <c r="C73" s="1259"/>
      <c r="D73" s="1260"/>
    </row>
    <row r="74" ht="12.75">
      <c r="A74" s="735" t="s">
        <v>357</v>
      </c>
    </row>
    <row r="75" ht="12.75">
      <c r="A75" s="735" t="s">
        <v>906</v>
      </c>
    </row>
    <row r="76" ht="12.75">
      <c r="A76" s="735" t="s">
        <v>358</v>
      </c>
    </row>
  </sheetData>
  <sheetProtection/>
  <mergeCells count="12">
    <mergeCell ref="A24:D24"/>
    <mergeCell ref="A25:D25"/>
    <mergeCell ref="A9:B9"/>
    <mergeCell ref="A10:B10"/>
    <mergeCell ref="A11:B11"/>
    <mergeCell ref="A12:B12"/>
    <mergeCell ref="A14:B14"/>
    <mergeCell ref="A15:B16"/>
    <mergeCell ref="A65:B65"/>
    <mergeCell ref="A66:B66"/>
    <mergeCell ref="A67:B67"/>
    <mergeCell ref="A68:B68"/>
  </mergeCells>
  <printOptions/>
  <pageMargins left="0.1968503937007874" right="0" top="0" bottom="0" header="0.31496062992125984" footer="0.31496062992125984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20" sqref="B20:E20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281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847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v>26835.35</v>
      </c>
      <c r="E11" s="25"/>
    </row>
    <row r="12" spans="2:5" ht="16.5" thickBot="1">
      <c r="B12" s="1398" t="s">
        <v>646</v>
      </c>
      <c r="C12" s="1399"/>
      <c r="D12" s="89">
        <v>225621.03</v>
      </c>
      <c r="E12" s="25"/>
    </row>
    <row r="13" spans="2:5" ht="16.5" thickBot="1">
      <c r="B13" s="1398" t="s">
        <v>647</v>
      </c>
      <c r="C13" s="1399"/>
      <c r="D13" s="5">
        <v>189259.7</v>
      </c>
      <c r="E13" s="25"/>
    </row>
    <row r="14" spans="2:5" ht="16.5" hidden="1" thickBot="1">
      <c r="B14" s="1398" t="s">
        <v>666</v>
      </c>
      <c r="C14" s="1399"/>
      <c r="D14" s="5"/>
      <c r="E14" s="25"/>
    </row>
    <row r="15" spans="2:5" ht="16.5" thickBot="1">
      <c r="B15" s="1341" t="s">
        <v>46</v>
      </c>
      <c r="C15" s="1342"/>
      <c r="D15" s="5">
        <v>29461.08</v>
      </c>
      <c r="E15" s="25"/>
    </row>
    <row r="16" spans="2:5" ht="16.5" thickBot="1">
      <c r="B16" s="1341" t="s">
        <v>47</v>
      </c>
      <c r="C16" s="1342"/>
      <c r="D16" s="5"/>
      <c r="E16" s="25"/>
    </row>
    <row r="17" spans="2:5" ht="16.5" thickBot="1">
      <c r="B17" s="1398" t="s">
        <v>648</v>
      </c>
      <c r="C17" s="1399"/>
      <c r="D17" s="5">
        <f>D11+D12-D13</f>
        <v>63196.67999999999</v>
      </c>
      <c r="E17" s="25"/>
    </row>
    <row r="18" spans="2:5" ht="16.5" thickBot="1">
      <c r="B18" s="1398" t="s">
        <v>806</v>
      </c>
      <c r="C18" s="1399"/>
      <c r="D18" s="75">
        <f>E24+E46</f>
        <v>323963.61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E25+E31+E33+E34+E44</f>
        <v>125109.42000000001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46889.56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34848.16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24287</v>
      </c>
    </row>
    <row r="34" spans="2:5" ht="16.5" thickBot="1">
      <c r="B34" s="133" t="s">
        <v>799</v>
      </c>
      <c r="C34" s="64" t="s">
        <v>824</v>
      </c>
      <c r="D34" s="43">
        <v>4.1</v>
      </c>
      <c r="E34" s="230">
        <v>12026.85</v>
      </c>
    </row>
    <row r="35" spans="2:5" ht="16.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78.75" hidden="1" thickBot="1">
      <c r="B38" s="36" t="s">
        <v>790</v>
      </c>
      <c r="C38" s="65" t="s">
        <v>661</v>
      </c>
      <c r="D38" s="44"/>
      <c r="E38" s="174"/>
    </row>
    <row r="39" spans="2:5" ht="48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39.75" hidden="1" thickBot="1">
      <c r="B42" s="67" t="s">
        <v>670</v>
      </c>
      <c r="C42" s="64" t="s">
        <v>684</v>
      </c>
      <c r="D42" s="46"/>
      <c r="E42" s="240"/>
    </row>
    <row r="43" spans="2:5" ht="48" hidden="1" thickBot="1">
      <c r="B43" s="68" t="s">
        <v>800</v>
      </c>
      <c r="C43" s="65" t="s">
        <v>661</v>
      </c>
      <c r="D43" s="44"/>
      <c r="E43" s="174"/>
    </row>
    <row r="44" spans="2:5" ht="16.5" thickBot="1">
      <c r="B44" s="69" t="s">
        <v>685</v>
      </c>
      <c r="C44" s="212" t="s">
        <v>817</v>
      </c>
      <c r="D44" s="43" t="s">
        <v>801</v>
      </c>
      <c r="E44" s="231">
        <v>7057.85</v>
      </c>
    </row>
    <row r="45" spans="2:5" ht="32.25" hidden="1" thickBot="1">
      <c r="B45" s="70" t="s">
        <v>802</v>
      </c>
      <c r="C45" s="47"/>
      <c r="D45" s="44"/>
      <c r="E45" s="174"/>
    </row>
    <row r="46" spans="2:5" ht="20.25" thickBot="1">
      <c r="B46" s="14" t="s">
        <v>760</v>
      </c>
      <c r="C46" s="17"/>
      <c r="E46" s="263">
        <f>E59</f>
        <v>198854.19</v>
      </c>
    </row>
    <row r="47" spans="2:5" ht="15.75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5.75">
      <c r="B48" s="217" t="s">
        <v>816</v>
      </c>
      <c r="C48" s="255" t="s">
        <v>661</v>
      </c>
      <c r="D48" s="149"/>
      <c r="E48" s="266">
        <v>13431.72</v>
      </c>
    </row>
    <row r="49" spans="2:5" ht="14.25">
      <c r="B49" s="188" t="s">
        <v>1000</v>
      </c>
      <c r="C49" s="255" t="s">
        <v>661</v>
      </c>
      <c r="D49" s="153"/>
      <c r="E49" s="177">
        <v>89800.07</v>
      </c>
    </row>
    <row r="50" spans="2:5" ht="14.25">
      <c r="B50" s="188" t="s">
        <v>930</v>
      </c>
      <c r="C50" s="115"/>
      <c r="D50" s="153"/>
      <c r="E50" s="177">
        <v>39882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1449.87+15448.59</f>
        <v>16898.46</v>
      </c>
    </row>
    <row r="53" spans="2:5" ht="14.25">
      <c r="B53" s="157" t="s">
        <v>880</v>
      </c>
      <c r="C53" s="74" t="s">
        <v>661</v>
      </c>
      <c r="D53" s="153"/>
      <c r="E53" s="259">
        <v>6364.01</v>
      </c>
    </row>
    <row r="54" spans="2:5" ht="14.25">
      <c r="B54" s="157" t="s">
        <v>925</v>
      </c>
      <c r="C54" s="74" t="s">
        <v>661</v>
      </c>
      <c r="D54" s="153"/>
      <c r="E54" s="259">
        <v>11836.08</v>
      </c>
    </row>
    <row r="55" spans="2:5" ht="15">
      <c r="B55" s="151" t="s">
        <v>1025</v>
      </c>
      <c r="C55" s="118"/>
      <c r="D55" s="153"/>
      <c r="E55" s="191"/>
    </row>
    <row r="56" spans="2:5" ht="14.25">
      <c r="B56" s="159" t="s">
        <v>998</v>
      </c>
      <c r="C56" s="74" t="s">
        <v>661</v>
      </c>
      <c r="D56" s="153"/>
      <c r="E56" s="192">
        <f>20172.62</f>
        <v>20172.62</v>
      </c>
    </row>
    <row r="57" spans="2:5" ht="14.25">
      <c r="B57" s="159" t="s">
        <v>929</v>
      </c>
      <c r="C57" s="74" t="s">
        <v>661</v>
      </c>
      <c r="D57" s="13"/>
      <c r="E57" s="85">
        <v>469.23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E48+E52+E53+E56+E57+E49+E54+E50</f>
        <v>198854.19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1"/>
      <c r="C64" s="11"/>
      <c r="D64" s="11"/>
      <c r="E64" s="207"/>
    </row>
    <row r="65" spans="2:5" ht="15.75">
      <c r="B65" s="6" t="s">
        <v>830</v>
      </c>
      <c r="C65" s="6" t="s">
        <v>889</v>
      </c>
      <c r="E65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99CC"/>
  </sheetPr>
  <dimension ref="A3:D7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310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66021.29</v>
      </c>
      <c r="D13" s="1378"/>
    </row>
    <row r="14" spans="1:4" ht="14.25">
      <c r="A14" s="471" t="s">
        <v>646</v>
      </c>
      <c r="B14" s="473"/>
      <c r="C14" s="1375">
        <v>254853.72</v>
      </c>
      <c r="D14" s="1376"/>
    </row>
    <row r="15" spans="1:4" ht="14.25">
      <c r="A15" s="470" t="s">
        <v>647</v>
      </c>
      <c r="B15" s="474"/>
      <c r="C15" s="1312">
        <v>224125.63</v>
      </c>
      <c r="D15" s="1313"/>
    </row>
    <row r="16" spans="1:4" ht="15">
      <c r="A16" s="475" t="s">
        <v>348</v>
      </c>
      <c r="B16" s="476"/>
      <c r="C16" s="1377">
        <f>C13+C14-C15</f>
        <v>96749.38</v>
      </c>
      <c r="D16" s="1378"/>
    </row>
    <row r="17" spans="1:4" ht="14.25">
      <c r="A17" s="470" t="s">
        <v>498</v>
      </c>
      <c r="B17" s="474"/>
      <c r="C17" s="1407">
        <v>281249.72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53514.16</v>
      </c>
    </row>
    <row r="26" spans="1:4" ht="15">
      <c r="A26" s="492" t="s">
        <v>35</v>
      </c>
      <c r="B26" s="398" t="s">
        <v>656</v>
      </c>
      <c r="C26" s="398" t="s">
        <v>801</v>
      </c>
      <c r="D26" s="509">
        <v>31353.03</v>
      </c>
    </row>
    <row r="27" spans="1:4" ht="24.75">
      <c r="A27" s="546" t="s">
        <v>14</v>
      </c>
      <c r="B27" s="397" t="s">
        <v>657</v>
      </c>
      <c r="C27" s="506"/>
      <c r="D27" s="507">
        <v>39195.34</v>
      </c>
    </row>
    <row r="28" spans="1:4" ht="15">
      <c r="A28" s="492" t="s">
        <v>244</v>
      </c>
      <c r="B28" s="399" t="s">
        <v>661</v>
      </c>
      <c r="C28" s="508"/>
      <c r="D28" s="509">
        <v>397.17</v>
      </c>
    </row>
    <row r="29" spans="1:4" ht="15">
      <c r="A29" s="492" t="s">
        <v>243</v>
      </c>
      <c r="B29" s="399" t="s">
        <v>661</v>
      </c>
      <c r="C29" s="508"/>
      <c r="D29" s="509">
        <v>9603.95</v>
      </c>
    </row>
    <row r="30" spans="1:4" ht="15.75" thickBot="1">
      <c r="A30" s="510" t="s">
        <v>799</v>
      </c>
      <c r="B30" s="673" t="s">
        <v>661</v>
      </c>
      <c r="C30" s="617"/>
      <c r="D30" s="618">
        <v>32322.24</v>
      </c>
    </row>
    <row r="31" spans="1:4" ht="15.75" thickBot="1">
      <c r="A31" s="805" t="s">
        <v>701</v>
      </c>
      <c r="B31" s="980"/>
      <c r="C31" s="981"/>
      <c r="D31" s="839">
        <v>166385.89</v>
      </c>
    </row>
    <row r="32" spans="1:4" ht="15.75" thickBot="1">
      <c r="A32" s="487" t="s">
        <v>914</v>
      </c>
      <c r="B32" s="461"/>
      <c r="C32" s="462"/>
      <c r="D32" s="463"/>
    </row>
    <row r="33" spans="1:4" ht="24">
      <c r="A33" s="513" t="s">
        <v>429</v>
      </c>
      <c r="B33" s="514" t="s">
        <v>920</v>
      </c>
      <c r="C33" s="515" t="s">
        <v>673</v>
      </c>
      <c r="D33" s="516" t="s">
        <v>793</v>
      </c>
    </row>
    <row r="34" spans="1:4" ht="15">
      <c r="A34" s="389" t="s">
        <v>11</v>
      </c>
      <c r="B34" s="746" t="s">
        <v>661</v>
      </c>
      <c r="C34" s="491"/>
      <c r="D34" s="402">
        <v>6083.4</v>
      </c>
    </row>
    <row r="35" spans="1:4" ht="15.75" thickBot="1">
      <c r="A35" s="1016" t="s">
        <v>109</v>
      </c>
      <c r="B35" s="758" t="s">
        <v>478</v>
      </c>
      <c r="C35" s="836">
        <v>1</v>
      </c>
      <c r="D35" s="541">
        <v>825.93</v>
      </c>
    </row>
    <row r="36" spans="1:4" ht="15.75" thickBot="1">
      <c r="A36" s="806" t="s">
        <v>701</v>
      </c>
      <c r="B36" s="825"/>
      <c r="C36" s="803"/>
      <c r="D36" s="858">
        <v>6909.33</v>
      </c>
    </row>
    <row r="37" spans="1:4" ht="15">
      <c r="A37" s="465" t="s">
        <v>445</v>
      </c>
      <c r="B37" s="800"/>
      <c r="C37" s="441"/>
      <c r="D37" s="441"/>
    </row>
    <row r="38" spans="1:4" ht="15">
      <c r="A38" s="177" t="s">
        <v>245</v>
      </c>
      <c r="B38" s="761" t="s">
        <v>211</v>
      </c>
      <c r="C38" s="421">
        <v>1</v>
      </c>
      <c r="D38" s="422">
        <v>1296.51</v>
      </c>
    </row>
    <row r="39" spans="1:4" ht="15">
      <c r="A39" s="177" t="s">
        <v>972</v>
      </c>
      <c r="B39" s="761"/>
      <c r="C39" s="439">
        <v>1</v>
      </c>
      <c r="D39" s="424">
        <v>26603</v>
      </c>
    </row>
    <row r="40" spans="1:4" ht="15.75" thickBot="1">
      <c r="A40" s="799" t="s">
        <v>455</v>
      </c>
      <c r="B40" s="1293"/>
      <c r="C40" s="439">
        <v>2</v>
      </c>
      <c r="D40" s="424">
        <v>662.62</v>
      </c>
    </row>
    <row r="41" spans="1:4" ht="15.75" thickBot="1">
      <c r="A41" s="806" t="s">
        <v>701</v>
      </c>
      <c r="B41" s="811"/>
      <c r="C41" s="803"/>
      <c r="D41" s="533">
        <v>28562.13</v>
      </c>
    </row>
    <row r="42" spans="1:4" ht="15">
      <c r="A42" s="808" t="s">
        <v>192</v>
      </c>
      <c r="B42" s="570"/>
      <c r="C42" s="946"/>
      <c r="D42" s="947"/>
    </row>
    <row r="43" spans="1:4" ht="15">
      <c r="A43" s="359" t="s">
        <v>479</v>
      </c>
      <c r="B43" s="365" t="s">
        <v>52</v>
      </c>
      <c r="C43" s="421">
        <v>7</v>
      </c>
      <c r="D43" s="555">
        <v>7629.57</v>
      </c>
    </row>
    <row r="44" spans="1:4" ht="15">
      <c r="A44" s="359" t="s">
        <v>212</v>
      </c>
      <c r="B44" s="365" t="s">
        <v>81</v>
      </c>
      <c r="C44" s="421">
        <v>1</v>
      </c>
      <c r="D44" s="555">
        <v>372.13</v>
      </c>
    </row>
    <row r="45" spans="1:4" ht="15.75" thickBot="1">
      <c r="A45" s="807" t="s">
        <v>196</v>
      </c>
      <c r="B45" s="758"/>
      <c r="C45" s="439">
        <v>5</v>
      </c>
      <c r="D45" s="424">
        <v>3683.9</v>
      </c>
    </row>
    <row r="46" spans="1:4" ht="15.75" thickBot="1">
      <c r="A46" s="806" t="s">
        <v>701</v>
      </c>
      <c r="B46" s="811"/>
      <c r="C46" s="803"/>
      <c r="D46" s="841">
        <v>11685.6</v>
      </c>
    </row>
    <row r="47" spans="1:4" ht="15">
      <c r="A47" s="890" t="s">
        <v>12</v>
      </c>
      <c r="B47" s="570"/>
      <c r="C47" s="441"/>
      <c r="D47" s="441"/>
    </row>
    <row r="48" spans="1:4" ht="15.75" thickBot="1">
      <c r="A48" s="526" t="s">
        <v>886</v>
      </c>
      <c r="B48" s="758" t="s">
        <v>478</v>
      </c>
      <c r="C48" s="439">
        <v>1</v>
      </c>
      <c r="D48" s="439">
        <v>430.63</v>
      </c>
    </row>
    <row r="49" spans="1:4" ht="15.75" thickBot="1">
      <c r="A49" s="806" t="s">
        <v>701</v>
      </c>
      <c r="B49" s="811"/>
      <c r="C49" s="803"/>
      <c r="D49" s="863">
        <v>430.63</v>
      </c>
    </row>
    <row r="50" spans="1:4" ht="15.75" thickBot="1">
      <c r="A50" s="1053"/>
      <c r="B50" s="834"/>
      <c r="C50" s="836"/>
      <c r="D50" s="836"/>
    </row>
    <row r="51" spans="1:4" ht="15.75" thickBot="1">
      <c r="A51" s="806" t="s">
        <v>375</v>
      </c>
      <c r="B51" s="811"/>
      <c r="C51" s="803"/>
      <c r="D51" s="863">
        <v>47587.69</v>
      </c>
    </row>
    <row r="52" spans="1:4" ht="15">
      <c r="A52" s="377"/>
      <c r="B52" s="570"/>
      <c r="C52" s="1182"/>
      <c r="D52" s="598"/>
    </row>
    <row r="53" spans="1:4" ht="15">
      <c r="A53" s="944" t="s">
        <v>743</v>
      </c>
      <c r="B53" s="365"/>
      <c r="C53" s="431"/>
      <c r="D53" s="891">
        <v>11609.81</v>
      </c>
    </row>
    <row r="54" spans="1:4" ht="15">
      <c r="A54" s="808" t="s">
        <v>904</v>
      </c>
      <c r="B54" s="757"/>
      <c r="C54" s="427"/>
      <c r="D54" s="428">
        <v>3723.5</v>
      </c>
    </row>
    <row r="55" spans="1:4" ht="15">
      <c r="A55" s="955" t="s">
        <v>735</v>
      </c>
      <c r="B55" s="365"/>
      <c r="C55" s="427"/>
      <c r="D55" s="869">
        <v>51942.83</v>
      </c>
    </row>
    <row r="56" spans="1:4" ht="15.75" thickBot="1">
      <c r="A56" s="526"/>
      <c r="B56" s="758"/>
      <c r="C56" s="435"/>
      <c r="D56" s="541"/>
    </row>
    <row r="57" spans="1:4" ht="15.75" thickBot="1">
      <c r="A57" s="806" t="s">
        <v>36</v>
      </c>
      <c r="B57" s="811"/>
      <c r="C57" s="550"/>
      <c r="D57" s="858">
        <v>281249.72</v>
      </c>
    </row>
    <row r="58" spans="1:4" ht="15">
      <c r="A58" s="370"/>
      <c r="B58" s="370"/>
      <c r="C58" s="370"/>
      <c r="D58" s="371"/>
    </row>
    <row r="59" spans="1:4" ht="15">
      <c r="A59" s="370"/>
      <c r="B59" s="370"/>
      <c r="C59" s="370"/>
      <c r="D59" s="371"/>
    </row>
    <row r="60" spans="1:4" ht="14.25">
      <c r="A60" s="764"/>
      <c r="B60" s="358"/>
      <c r="C60" s="359"/>
      <c r="D60" s="1262"/>
    </row>
    <row r="61" spans="1:4" ht="15">
      <c r="A61" s="1251" t="s">
        <v>568</v>
      </c>
      <c r="B61" s="1257"/>
      <c r="C61" s="467"/>
      <c r="D61" s="467">
        <v>0</v>
      </c>
    </row>
    <row r="62" spans="1:4" ht="15">
      <c r="A62" s="1332" t="s">
        <v>569</v>
      </c>
      <c r="B62" s="1332"/>
      <c r="C62" s="628"/>
      <c r="D62" s="608">
        <v>224125.63</v>
      </c>
    </row>
    <row r="63" spans="1:4" ht="15">
      <c r="A63" s="1332" t="s">
        <v>570</v>
      </c>
      <c r="B63" s="1332"/>
      <c r="C63" s="607"/>
      <c r="D63" s="608">
        <v>281249.72</v>
      </c>
    </row>
    <row r="64" spans="1:4" ht="15">
      <c r="A64" s="1333" t="s">
        <v>571</v>
      </c>
      <c r="B64" s="1333"/>
      <c r="C64" s="629"/>
      <c r="D64" s="629">
        <v>57124.09</v>
      </c>
    </row>
    <row r="65" spans="1:4" ht="15">
      <c r="A65" s="1332" t="s">
        <v>179</v>
      </c>
      <c r="B65" s="1332"/>
      <c r="C65" s="1258"/>
      <c r="D65" s="630">
        <v>57124.09</v>
      </c>
    </row>
    <row r="66" spans="1:4" ht="15">
      <c r="A66" s="538"/>
      <c r="B66" s="538"/>
      <c r="C66" s="1259"/>
      <c r="D66" s="1260"/>
    </row>
    <row r="67" spans="1:4" ht="15">
      <c r="A67" s="538"/>
      <c r="B67" s="538"/>
      <c r="C67" s="1259"/>
      <c r="D67" s="1260"/>
    </row>
    <row r="68" spans="1:4" ht="15">
      <c r="A68" s="538"/>
      <c r="B68" s="538"/>
      <c r="C68" s="1259"/>
      <c r="D68" s="1260"/>
    </row>
    <row r="69" spans="1:4" ht="15">
      <c r="A69" s="538" t="s">
        <v>180</v>
      </c>
      <c r="B69" s="538"/>
      <c r="C69" s="1259" t="s">
        <v>573</v>
      </c>
      <c r="D69" s="1260"/>
    </row>
    <row r="70" spans="1:4" ht="15">
      <c r="A70" s="538"/>
      <c r="B70" s="538"/>
      <c r="C70" s="1259"/>
      <c r="D70" s="1260"/>
    </row>
    <row r="71" ht="12.75">
      <c r="A71" s="735" t="s">
        <v>357</v>
      </c>
    </row>
    <row r="72" ht="12.75">
      <c r="A72" s="735" t="s">
        <v>906</v>
      </c>
    </row>
    <row r="73" ht="12.75">
      <c r="A73" s="735" t="s">
        <v>358</v>
      </c>
    </row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62:B62"/>
    <mergeCell ref="A63:B63"/>
    <mergeCell ref="A64:B64"/>
    <mergeCell ref="A65:B65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71093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848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90276+291.16</f>
        <v>90567.16</v>
      </c>
      <c r="E11" s="25">
        <v>18343.03</v>
      </c>
    </row>
    <row r="12" spans="2:5" ht="16.5" thickBot="1">
      <c r="B12" s="1398" t="s">
        <v>646</v>
      </c>
      <c r="C12" s="1399"/>
      <c r="D12" s="89">
        <f>573723.36+1124.48</f>
        <v>574847.84</v>
      </c>
      <c r="E12" s="5">
        <v>31546.3</v>
      </c>
    </row>
    <row r="13" spans="2:5" ht="16.5" thickBot="1">
      <c r="B13" s="1398" t="s">
        <v>647</v>
      </c>
      <c r="C13" s="1399"/>
      <c r="D13" s="5">
        <f>566700.51+1355.4</f>
        <v>568055.91</v>
      </c>
      <c r="E13" s="5">
        <v>45147.25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8929.8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97359.08999999997</v>
      </c>
      <c r="E17" s="5">
        <f>E11+E12-E13</f>
        <v>4742.080000000002</v>
      </c>
    </row>
    <row r="18" spans="2:5" ht="16.5" thickBot="1">
      <c r="B18" s="1398" t="s">
        <v>806</v>
      </c>
      <c r="C18" s="1399"/>
      <c r="D18" s="75">
        <f>E24+E46</f>
        <v>720426.7100000001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E25+E31+E33+E34+E44</f>
        <v>430182.15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242640.12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94674.07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71883.58</v>
      </c>
    </row>
    <row r="34" spans="2:5" ht="16.5" thickBot="1">
      <c r="B34" s="133" t="s">
        <v>879</v>
      </c>
      <c r="C34" s="64" t="s">
        <v>661</v>
      </c>
      <c r="D34" s="43">
        <v>4.1</v>
      </c>
      <c r="E34" s="230">
        <v>1410.75</v>
      </c>
    </row>
    <row r="35" spans="2:5" ht="16.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78.75" hidden="1" thickBot="1">
      <c r="B38" s="36" t="s">
        <v>790</v>
      </c>
      <c r="C38" s="65" t="s">
        <v>661</v>
      </c>
      <c r="D38" s="44"/>
      <c r="E38" s="174"/>
    </row>
    <row r="39" spans="2:5" ht="48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39.75" hidden="1" thickBot="1">
      <c r="B42" s="67" t="s">
        <v>670</v>
      </c>
      <c r="C42" s="64" t="s">
        <v>684</v>
      </c>
      <c r="D42" s="46"/>
      <c r="E42" s="240"/>
    </row>
    <row r="43" spans="2:5" ht="48" hidden="1" thickBot="1">
      <c r="B43" s="68" t="s">
        <v>800</v>
      </c>
      <c r="C43" s="65" t="s">
        <v>661</v>
      </c>
      <c r="D43" s="44"/>
      <c r="E43" s="174"/>
    </row>
    <row r="44" spans="2:5" ht="16.5" thickBot="1">
      <c r="B44" s="69" t="s">
        <v>685</v>
      </c>
      <c r="C44" s="212" t="s">
        <v>817</v>
      </c>
      <c r="D44" s="43" t="s">
        <v>801</v>
      </c>
      <c r="E44" s="231">
        <v>19573.63</v>
      </c>
    </row>
    <row r="45" spans="2:5" ht="32.25" hidden="1" thickBot="1">
      <c r="B45" s="70" t="s">
        <v>802</v>
      </c>
      <c r="C45" s="47"/>
      <c r="D45" s="44"/>
      <c r="E45" s="174"/>
    </row>
    <row r="46" spans="2:5" ht="20.25" thickBot="1">
      <c r="B46" s="14" t="s">
        <v>760</v>
      </c>
      <c r="C46" s="17"/>
      <c r="E46" s="263">
        <f>E58</f>
        <v>290244.56000000006</v>
      </c>
    </row>
    <row r="47" spans="2:5" ht="15.75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5.75">
      <c r="B48" s="217" t="s">
        <v>816</v>
      </c>
      <c r="C48" s="255" t="s">
        <v>661</v>
      </c>
      <c r="D48" s="149"/>
      <c r="E48" s="266">
        <v>149631.57</v>
      </c>
    </row>
    <row r="49" spans="2:5" ht="14.25">
      <c r="B49" s="188" t="s">
        <v>1000</v>
      </c>
      <c r="C49" s="255" t="s">
        <v>661</v>
      </c>
      <c r="D49" s="153"/>
      <c r="E49" s="177">
        <v>1161.59</v>
      </c>
    </row>
    <row r="50" spans="2:5" ht="14.25">
      <c r="B50" s="151" t="s">
        <v>676</v>
      </c>
      <c r="C50" s="116"/>
      <c r="D50" s="153"/>
      <c r="E50" s="177"/>
    </row>
    <row r="51" spans="2:5" ht="14.25">
      <c r="B51" s="132" t="s">
        <v>883</v>
      </c>
      <c r="C51" s="74" t="s">
        <v>661</v>
      </c>
      <c r="D51" s="153"/>
      <c r="E51" s="179">
        <f>13490.66+39235.44</f>
        <v>52726.100000000006</v>
      </c>
    </row>
    <row r="52" spans="2:5" ht="14.25">
      <c r="B52" s="157" t="s">
        <v>880</v>
      </c>
      <c r="C52" s="74" t="s">
        <v>661</v>
      </c>
      <c r="D52" s="153"/>
      <c r="E52" s="259">
        <v>37663.86</v>
      </c>
    </row>
    <row r="53" spans="2:5" ht="14.25">
      <c r="B53" s="157" t="s">
        <v>925</v>
      </c>
      <c r="C53" s="74" t="s">
        <v>661</v>
      </c>
      <c r="D53" s="153"/>
      <c r="E53" s="259">
        <v>20809.24</v>
      </c>
    </row>
    <row r="54" spans="2:5" ht="15">
      <c r="B54" s="151" t="s">
        <v>1025</v>
      </c>
      <c r="C54" s="118"/>
      <c r="D54" s="153"/>
      <c r="E54" s="191"/>
    </row>
    <row r="55" spans="2:5" ht="14.25">
      <c r="B55" s="159" t="s">
        <v>998</v>
      </c>
      <c r="C55" s="74" t="s">
        <v>661</v>
      </c>
      <c r="D55" s="153"/>
      <c r="E55" s="192">
        <f>25535.79+1415.08</f>
        <v>26950.870000000003</v>
      </c>
    </row>
    <row r="56" spans="2:5" ht="14.25">
      <c r="B56" s="159" t="s">
        <v>929</v>
      </c>
      <c r="C56" s="74" t="s">
        <v>661</v>
      </c>
      <c r="D56" s="13"/>
      <c r="E56" s="85">
        <v>1301.33</v>
      </c>
    </row>
    <row r="57" spans="2:5" ht="12.75" hidden="1">
      <c r="B57" s="13"/>
      <c r="C57" s="13"/>
      <c r="D57" s="13"/>
      <c r="E57" s="85"/>
    </row>
    <row r="58" spans="2:5" ht="12.75" hidden="1">
      <c r="B58" s="117" t="s">
        <v>1014</v>
      </c>
      <c r="C58" s="13"/>
      <c r="D58" s="13"/>
      <c r="E58" s="256">
        <f>E48+E51+E52+E55+E56+E49+E53</f>
        <v>290244.56000000006</v>
      </c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1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99CC"/>
  </sheetPr>
  <dimension ref="A2:D78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2" ht="12.75">
      <c r="D2" s="1" t="s">
        <v>792</v>
      </c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185</v>
      </c>
      <c r="B6" s="1363"/>
      <c r="C6" s="91"/>
      <c r="D6" s="91"/>
    </row>
    <row r="7" spans="1:3" ht="18.75">
      <c r="A7" s="26"/>
      <c r="B7" s="26"/>
      <c r="C7"/>
    </row>
    <row r="8" spans="1:4" ht="15">
      <c r="A8" s="1343" t="s">
        <v>311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1366" t="s">
        <v>642</v>
      </c>
      <c r="B10" s="1367"/>
      <c r="C10" s="1366" t="s">
        <v>488</v>
      </c>
      <c r="D10" s="1367"/>
    </row>
    <row r="11" spans="1:4" ht="12.75">
      <c r="A11" s="1368"/>
      <c r="B11" s="1369"/>
      <c r="C11" s="1368"/>
      <c r="D11" s="1369"/>
    </row>
    <row r="12" spans="1:4" ht="15">
      <c r="A12" s="372" t="s">
        <v>347</v>
      </c>
      <c r="B12" s="472"/>
      <c r="C12" s="1370">
        <v>98896.06</v>
      </c>
      <c r="D12" s="1371"/>
    </row>
    <row r="13" spans="1:4" ht="15">
      <c r="A13" s="471" t="s">
        <v>486</v>
      </c>
      <c r="B13" s="473"/>
      <c r="C13" s="1316">
        <v>573204.54</v>
      </c>
      <c r="D13" s="1317"/>
    </row>
    <row r="14" spans="1:4" ht="15">
      <c r="A14" s="470" t="s">
        <v>647</v>
      </c>
      <c r="B14" s="474"/>
      <c r="C14" s="1338">
        <v>575513.39</v>
      </c>
      <c r="D14" s="1339"/>
    </row>
    <row r="15" spans="1:4" ht="15">
      <c r="A15" s="475" t="s">
        <v>348</v>
      </c>
      <c r="B15" s="476"/>
      <c r="C15" s="1318">
        <f>C12+C13-C14</f>
        <v>96587.21000000008</v>
      </c>
      <c r="D15" s="1319"/>
    </row>
    <row r="16" spans="1:4" ht="14.25">
      <c r="A16" s="470" t="s">
        <v>537</v>
      </c>
      <c r="B16" s="474"/>
      <c r="C16" s="1334">
        <v>502535.89</v>
      </c>
      <c r="D16" s="1335"/>
    </row>
    <row r="17" spans="1:4" ht="12.75">
      <c r="A17" s="82"/>
      <c r="B17" s="83"/>
      <c r="C17" s="83"/>
      <c r="D17" s="83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501" t="s">
        <v>892</v>
      </c>
      <c r="B22" s="502" t="s">
        <v>667</v>
      </c>
      <c r="C22" s="499" t="s">
        <v>673</v>
      </c>
      <c r="D22" s="503" t="s">
        <v>793</v>
      </c>
    </row>
    <row r="23" spans="1:4" ht="16.5" thickBot="1">
      <c r="A23" s="477" t="s">
        <v>913</v>
      </c>
      <c r="B23" s="504"/>
      <c r="C23" s="456"/>
      <c r="D23" s="676"/>
    </row>
    <row r="24" spans="1:4" ht="26.25">
      <c r="A24" s="546" t="s">
        <v>105</v>
      </c>
      <c r="B24" s="637" t="s">
        <v>652</v>
      </c>
      <c r="C24" s="536"/>
      <c r="D24" s="528">
        <v>118531.61</v>
      </c>
    </row>
    <row r="25" spans="1:4" ht="15">
      <c r="A25" s="492" t="s">
        <v>654</v>
      </c>
      <c r="B25" s="398" t="s">
        <v>656</v>
      </c>
      <c r="C25" s="398" t="s">
        <v>801</v>
      </c>
      <c r="D25" s="509">
        <v>69445.63</v>
      </c>
    </row>
    <row r="26" spans="1:4" ht="24.75">
      <c r="A26" s="546" t="s">
        <v>14</v>
      </c>
      <c r="B26" s="397" t="s">
        <v>657</v>
      </c>
      <c r="C26" s="506"/>
      <c r="D26" s="507">
        <v>86816.03</v>
      </c>
    </row>
    <row r="27" spans="1:4" ht="18.75" customHeight="1">
      <c r="A27" s="492" t="s">
        <v>246</v>
      </c>
      <c r="B27" s="399"/>
      <c r="C27" s="508"/>
      <c r="D27" s="509">
        <v>11795.57</v>
      </c>
    </row>
    <row r="28" spans="1:4" ht="15.75" thickBot="1">
      <c r="A28" s="413" t="s">
        <v>799</v>
      </c>
      <c r="B28" s="673" t="s">
        <v>661</v>
      </c>
      <c r="C28" s="610"/>
      <c r="D28" s="595">
        <v>11536.61</v>
      </c>
    </row>
    <row r="29" spans="1:4" ht="15.75" thickBot="1">
      <c r="A29" s="805" t="s">
        <v>701</v>
      </c>
      <c r="B29" s="980"/>
      <c r="C29" s="981"/>
      <c r="D29" s="839">
        <v>298125.45</v>
      </c>
    </row>
    <row r="30" spans="1:4" ht="15.75" thickBot="1">
      <c r="A30" s="487" t="s">
        <v>247</v>
      </c>
      <c r="B30" s="461"/>
      <c r="C30" s="462"/>
      <c r="D30" s="463"/>
    </row>
    <row r="31" spans="1:4" ht="24">
      <c r="A31" s="943" t="s">
        <v>194</v>
      </c>
      <c r="B31" s="514" t="s">
        <v>920</v>
      </c>
      <c r="C31" s="515" t="s">
        <v>673</v>
      </c>
      <c r="D31" s="516" t="s">
        <v>793</v>
      </c>
    </row>
    <row r="32" spans="1:4" ht="15.75" thickBot="1">
      <c r="A32" s="390" t="s">
        <v>11</v>
      </c>
      <c r="B32" s="748" t="s">
        <v>661</v>
      </c>
      <c r="C32" s="674"/>
      <c r="D32" s="459">
        <v>14484.54</v>
      </c>
    </row>
    <row r="33" spans="1:4" ht="15.75" thickBot="1">
      <c r="A33" s="805" t="s">
        <v>701</v>
      </c>
      <c r="B33" s="1184"/>
      <c r="C33" s="1020"/>
      <c r="D33" s="940">
        <v>14484.54</v>
      </c>
    </row>
    <row r="34" spans="1:4" ht="15">
      <c r="A34" s="808" t="s">
        <v>445</v>
      </c>
      <c r="B34" s="800"/>
      <c r="C34" s="441"/>
      <c r="D34" s="441"/>
    </row>
    <row r="35" spans="1:4" ht="15">
      <c r="A35" s="359" t="s">
        <v>603</v>
      </c>
      <c r="B35" s="365"/>
      <c r="C35" s="421">
        <v>6</v>
      </c>
      <c r="D35" s="555">
        <v>4249.38</v>
      </c>
    </row>
    <row r="36" spans="1:4" ht="15">
      <c r="A36" s="359" t="s">
        <v>222</v>
      </c>
      <c r="B36" s="365" t="s">
        <v>211</v>
      </c>
      <c r="C36" s="421">
        <v>2</v>
      </c>
      <c r="D36" s="555">
        <v>1095.81</v>
      </c>
    </row>
    <row r="37" spans="1:4" ht="15">
      <c r="A37" s="359" t="s">
        <v>378</v>
      </c>
      <c r="B37" s="365"/>
      <c r="C37" s="421">
        <v>1</v>
      </c>
      <c r="D37" s="555">
        <v>26603</v>
      </c>
    </row>
    <row r="38" spans="1:4" ht="15">
      <c r="A38" s="359" t="s">
        <v>239</v>
      </c>
      <c r="B38" s="365" t="s">
        <v>478</v>
      </c>
      <c r="C38" s="421">
        <v>2</v>
      </c>
      <c r="D38" s="422">
        <v>4119.69</v>
      </c>
    </row>
    <row r="39" spans="1:4" ht="15.75" thickBot="1">
      <c r="A39" s="807" t="s">
        <v>552</v>
      </c>
      <c r="B39" s="758" t="s">
        <v>478</v>
      </c>
      <c r="C39" s="439">
        <v>1</v>
      </c>
      <c r="D39" s="424">
        <v>288.74</v>
      </c>
    </row>
    <row r="40" spans="1:4" ht="15.75" thickBot="1">
      <c r="A40" s="806" t="s">
        <v>701</v>
      </c>
      <c r="B40" s="811"/>
      <c r="C40" s="803"/>
      <c r="D40" s="841">
        <v>36356.62</v>
      </c>
    </row>
    <row r="41" spans="1:4" ht="15">
      <c r="A41" s="890" t="s">
        <v>248</v>
      </c>
      <c r="B41" s="570"/>
      <c r="C41" s="441"/>
      <c r="D41" s="441"/>
    </row>
    <row r="42" spans="1:4" ht="15.75" thickBot="1">
      <c r="A42" s="526" t="s">
        <v>582</v>
      </c>
      <c r="B42" s="758"/>
      <c r="C42" s="439">
        <v>2</v>
      </c>
      <c r="D42" s="439">
        <v>965.06</v>
      </c>
    </row>
    <row r="43" spans="1:4" ht="15.75" thickBot="1">
      <c r="A43" s="806" t="s">
        <v>701</v>
      </c>
      <c r="B43" s="811"/>
      <c r="C43" s="803"/>
      <c r="D43" s="863">
        <v>965.06</v>
      </c>
    </row>
    <row r="44" spans="1:4" ht="15">
      <c r="A44" s="890" t="s">
        <v>361</v>
      </c>
      <c r="B44" s="570"/>
      <c r="C44" s="441"/>
      <c r="D44" s="441"/>
    </row>
    <row r="45" spans="1:4" ht="15">
      <c r="A45" s="387" t="s">
        <v>602</v>
      </c>
      <c r="B45" s="365"/>
      <c r="C45" s="421">
        <v>8</v>
      </c>
      <c r="D45" s="421">
        <v>9558.73</v>
      </c>
    </row>
    <row r="46" spans="1:4" ht="15">
      <c r="A46" s="387" t="s">
        <v>1020</v>
      </c>
      <c r="B46" s="365" t="s">
        <v>478</v>
      </c>
      <c r="C46" s="421">
        <v>3</v>
      </c>
      <c r="D46" s="421">
        <v>10029.66</v>
      </c>
    </row>
    <row r="47" spans="1:4" ht="15">
      <c r="A47" s="387" t="s">
        <v>249</v>
      </c>
      <c r="B47" s="365" t="s">
        <v>961</v>
      </c>
      <c r="C47" s="421">
        <v>1</v>
      </c>
      <c r="D47" s="421">
        <v>1496.62</v>
      </c>
    </row>
    <row r="48" spans="1:4" ht="15.75" thickBot="1">
      <c r="A48" s="526" t="s">
        <v>479</v>
      </c>
      <c r="B48" s="758" t="s">
        <v>52</v>
      </c>
      <c r="C48" s="439">
        <v>7</v>
      </c>
      <c r="D48" s="439">
        <v>6784</v>
      </c>
    </row>
    <row r="49" spans="1:4" ht="15.75" thickBot="1">
      <c r="A49" s="806" t="s">
        <v>701</v>
      </c>
      <c r="B49" s="811"/>
      <c r="C49" s="803"/>
      <c r="D49" s="863">
        <v>27859.01</v>
      </c>
    </row>
    <row r="50" spans="1:4" ht="15">
      <c r="A50" s="890" t="s">
        <v>250</v>
      </c>
      <c r="B50" s="570"/>
      <c r="C50" s="441"/>
      <c r="D50" s="441"/>
    </row>
    <row r="51" spans="1:4" ht="15">
      <c r="A51" s="387" t="s">
        <v>886</v>
      </c>
      <c r="B51" s="365" t="s">
        <v>478</v>
      </c>
      <c r="C51" s="421">
        <v>4</v>
      </c>
      <c r="D51" s="421">
        <v>1859.63</v>
      </c>
    </row>
    <row r="52" spans="1:4" ht="15.75" thickBot="1">
      <c r="A52" s="526" t="s">
        <v>692</v>
      </c>
      <c r="B52" s="758"/>
      <c r="C52" s="439">
        <v>1</v>
      </c>
      <c r="D52" s="439">
        <v>666.09</v>
      </c>
    </row>
    <row r="53" spans="1:4" ht="15.75" thickBot="1">
      <c r="A53" s="806" t="s">
        <v>701</v>
      </c>
      <c r="B53" s="811"/>
      <c r="C53" s="803"/>
      <c r="D53" s="863">
        <v>2525.72</v>
      </c>
    </row>
    <row r="54" spans="1:4" ht="15">
      <c r="A54" s="1081"/>
      <c r="B54" s="570"/>
      <c r="C54" s="441"/>
      <c r="D54" s="441"/>
    </row>
    <row r="55" spans="1:4" ht="15.75" thickBot="1">
      <c r="A55" s="1139"/>
      <c r="B55" s="910"/>
      <c r="C55" s="1140"/>
      <c r="D55" s="1185"/>
    </row>
    <row r="56" spans="1:4" ht="15.75" thickBot="1">
      <c r="A56" s="806" t="s">
        <v>375</v>
      </c>
      <c r="B56" s="811"/>
      <c r="C56" s="803"/>
      <c r="D56" s="841">
        <v>82190.95</v>
      </c>
    </row>
    <row r="57" spans="1:4" ht="15">
      <c r="A57" s="377"/>
      <c r="B57" s="570"/>
      <c r="C57" s="441"/>
      <c r="D57" s="896"/>
    </row>
    <row r="58" spans="1:4" ht="15">
      <c r="A58" s="944" t="s">
        <v>743</v>
      </c>
      <c r="B58" s="365"/>
      <c r="C58" s="421"/>
      <c r="D58" s="1098">
        <v>25715.25</v>
      </c>
    </row>
    <row r="59" spans="1:4" ht="15">
      <c r="A59" s="1083" t="s">
        <v>904</v>
      </c>
      <c r="B59" s="746"/>
      <c r="C59" s="400"/>
      <c r="D59" s="1084">
        <v>3693</v>
      </c>
    </row>
    <row r="60" spans="1:4" ht="15">
      <c r="A60" s="944" t="s">
        <v>735</v>
      </c>
      <c r="B60" s="365"/>
      <c r="C60" s="421"/>
      <c r="D60" s="1098">
        <v>92811.24</v>
      </c>
    </row>
    <row r="61" spans="1:4" ht="15.75" thickBot="1">
      <c r="A61" s="519"/>
      <c r="B61" s="758"/>
      <c r="C61" s="439"/>
      <c r="D61" s="424"/>
    </row>
    <row r="62" spans="1:4" ht="16.5" thickBot="1">
      <c r="A62" s="829" t="s">
        <v>36</v>
      </c>
      <c r="B62" s="811"/>
      <c r="C62" s="1183"/>
      <c r="D62" s="892">
        <v>502535.89</v>
      </c>
    </row>
    <row r="63" spans="1:4" ht="15">
      <c r="A63" s="370"/>
      <c r="B63" s="370"/>
      <c r="C63" s="370"/>
      <c r="D63" s="371"/>
    </row>
    <row r="64" spans="1:4" ht="15">
      <c r="A64" s="370"/>
      <c r="B64" s="370"/>
      <c r="C64" s="370"/>
      <c r="D64" s="371"/>
    </row>
    <row r="65" spans="1:4" ht="14.25">
      <c r="A65" s="764"/>
      <c r="B65" s="358"/>
      <c r="C65" s="359"/>
      <c r="D65" s="1262"/>
    </row>
    <row r="66" spans="1:4" ht="15">
      <c r="A66" s="1251" t="s">
        <v>568</v>
      </c>
      <c r="B66" s="1257"/>
      <c r="C66" s="467"/>
      <c r="D66" s="467">
        <v>0</v>
      </c>
    </row>
    <row r="67" spans="1:4" ht="15">
      <c r="A67" s="1332" t="s">
        <v>569</v>
      </c>
      <c r="B67" s="1332"/>
      <c r="C67" s="628"/>
      <c r="D67" s="608">
        <v>575513.39</v>
      </c>
    </row>
    <row r="68" spans="1:4" ht="15">
      <c r="A68" s="1332" t="s">
        <v>570</v>
      </c>
      <c r="B68" s="1332"/>
      <c r="C68" s="607"/>
      <c r="D68" s="608">
        <v>502535.89</v>
      </c>
    </row>
    <row r="69" spans="1:4" ht="15">
      <c r="A69" s="1333" t="s">
        <v>571</v>
      </c>
      <c r="B69" s="1333"/>
      <c r="C69" s="629"/>
      <c r="D69" s="629">
        <v>-72977.5</v>
      </c>
    </row>
    <row r="70" spans="1:4" ht="15">
      <c r="A70" s="1332" t="s">
        <v>179</v>
      </c>
      <c r="B70" s="1332"/>
      <c r="C70" s="1258"/>
      <c r="D70" s="630">
        <v>-72977.5</v>
      </c>
    </row>
    <row r="71" spans="1:4" ht="15">
      <c r="A71" s="538"/>
      <c r="B71" s="538"/>
      <c r="C71" s="1259"/>
      <c r="D71" s="1260"/>
    </row>
    <row r="72" spans="1:4" ht="15">
      <c r="A72" s="538"/>
      <c r="B72" s="538"/>
      <c r="C72" s="1259"/>
      <c r="D72" s="1260"/>
    </row>
    <row r="73" spans="1:4" ht="15">
      <c r="A73" s="538"/>
      <c r="B73" s="538"/>
      <c r="C73" s="1259"/>
      <c r="D73" s="1260"/>
    </row>
    <row r="74" spans="1:4" ht="15">
      <c r="A74" s="538" t="s">
        <v>180</v>
      </c>
      <c r="B74" s="538"/>
      <c r="C74" s="1259" t="s">
        <v>573</v>
      </c>
      <c r="D74" s="1260"/>
    </row>
    <row r="75" spans="1:4" ht="15">
      <c r="A75" s="538"/>
      <c r="B75" s="538"/>
      <c r="C75" s="1259"/>
      <c r="D75" s="1260"/>
    </row>
    <row r="76" ht="12.75">
      <c r="A76" s="735" t="s">
        <v>357</v>
      </c>
    </row>
    <row r="77" ht="12.75">
      <c r="A77" s="735" t="s">
        <v>906</v>
      </c>
    </row>
    <row r="78" ht="12.75">
      <c r="A78" s="735" t="s">
        <v>358</v>
      </c>
    </row>
  </sheetData>
  <sheetProtection/>
  <mergeCells count="18">
    <mergeCell ref="A8:B8"/>
    <mergeCell ref="A10:B11"/>
    <mergeCell ref="A3:B3"/>
    <mergeCell ref="A4:B4"/>
    <mergeCell ref="A5:B5"/>
    <mergeCell ref="A6:B6"/>
    <mergeCell ref="C10:D11"/>
    <mergeCell ref="C12:D12"/>
    <mergeCell ref="A19:D19"/>
    <mergeCell ref="A20:D20"/>
    <mergeCell ref="C13:D13"/>
    <mergeCell ref="C14:D14"/>
    <mergeCell ref="C15:D15"/>
    <mergeCell ref="C16:D16"/>
    <mergeCell ref="A67:B67"/>
    <mergeCell ref="A68:B68"/>
    <mergeCell ref="A69:B69"/>
    <mergeCell ref="A70:B70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5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4.14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849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87658.17+352.82</f>
        <v>88010.99</v>
      </c>
      <c r="E11" s="25">
        <v>20040.15</v>
      </c>
    </row>
    <row r="12" spans="2:5" ht="16.5" thickBot="1">
      <c r="B12" s="1398" t="s">
        <v>646</v>
      </c>
      <c r="C12" s="1399"/>
      <c r="D12" s="89">
        <f>877502.28+1937.72</f>
        <v>879440</v>
      </c>
      <c r="E12" s="5">
        <v>50879.34</v>
      </c>
    </row>
    <row r="13" spans="2:5" ht="16.5" thickBot="1">
      <c r="B13" s="1398" t="s">
        <v>647</v>
      </c>
      <c r="C13" s="1399"/>
      <c r="D13" s="5">
        <f>874943.04+2290.54</f>
        <v>877233.5800000001</v>
      </c>
      <c r="E13" s="5">
        <v>71272.27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41570.76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90217.40999999992</v>
      </c>
      <c r="E17" s="5">
        <f>E11+E12-E13</f>
        <v>-352.7800000000134</v>
      </c>
    </row>
    <row r="18" spans="2:5" ht="16.5" thickBot="1">
      <c r="B18" s="1398" t="s">
        <v>806</v>
      </c>
      <c r="C18" s="1399"/>
      <c r="D18" s="131">
        <f>E24+E45</f>
        <v>1067650.52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E25+E31+E33+E43</f>
        <v>465582.44999999995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159313.47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147149.64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128314.98</v>
      </c>
    </row>
    <row r="34" spans="2:5" ht="16.5" hidden="1" thickBot="1">
      <c r="B34" s="68" t="s">
        <v>758</v>
      </c>
      <c r="C34" s="64" t="s">
        <v>665</v>
      </c>
      <c r="D34" s="43"/>
      <c r="E34" s="238"/>
    </row>
    <row r="35" spans="2:5" ht="32.25" hidden="1" thickBot="1">
      <c r="B35" s="67" t="s">
        <v>664</v>
      </c>
      <c r="C35" s="65" t="s">
        <v>661</v>
      </c>
      <c r="D35" s="44"/>
      <c r="E35" s="174"/>
    </row>
    <row r="36" spans="2:5" ht="32.25" hidden="1" thickBot="1">
      <c r="B36" s="67" t="s">
        <v>671</v>
      </c>
      <c r="C36" s="65" t="s">
        <v>661</v>
      </c>
      <c r="D36" s="72"/>
      <c r="E36" s="239"/>
    </row>
    <row r="37" spans="2:5" ht="78.75" hidden="1" thickBot="1">
      <c r="B37" s="36" t="s">
        <v>790</v>
      </c>
      <c r="C37" s="65" t="s">
        <v>661</v>
      </c>
      <c r="D37" s="44"/>
      <c r="E37" s="174"/>
    </row>
    <row r="38" spans="2:5" ht="48" hidden="1" thickBot="1">
      <c r="B38" s="67" t="s">
        <v>767</v>
      </c>
      <c r="C38" s="64" t="s">
        <v>766</v>
      </c>
      <c r="D38" s="43"/>
      <c r="E38" s="238"/>
    </row>
    <row r="39" spans="2:5" ht="32.25" hidden="1" thickBot="1">
      <c r="B39" s="67" t="s">
        <v>668</v>
      </c>
      <c r="C39" s="65" t="s">
        <v>661</v>
      </c>
      <c r="D39" s="44"/>
      <c r="E39" s="174"/>
    </row>
    <row r="40" spans="2:5" ht="16.5" hidden="1" thickBot="1">
      <c r="B40" s="67" t="s">
        <v>799</v>
      </c>
      <c r="C40" s="65" t="s">
        <v>661</v>
      </c>
      <c r="D40" s="44"/>
      <c r="E40" s="174"/>
    </row>
    <row r="41" spans="2:5" ht="39.75" hidden="1" thickBot="1">
      <c r="B41" s="67" t="s">
        <v>670</v>
      </c>
      <c r="C41" s="64" t="s">
        <v>684</v>
      </c>
      <c r="D41" s="46"/>
      <c r="E41" s="240"/>
    </row>
    <row r="42" spans="2:5" ht="48" hidden="1" thickBot="1">
      <c r="B42" s="68" t="s">
        <v>800</v>
      </c>
      <c r="C42" s="65" t="s">
        <v>661</v>
      </c>
      <c r="D42" s="44"/>
      <c r="E42" s="174"/>
    </row>
    <row r="43" spans="2:5" ht="16.5" thickBot="1">
      <c r="B43" s="69" t="s">
        <v>685</v>
      </c>
      <c r="C43" s="212" t="s">
        <v>817</v>
      </c>
      <c r="D43" s="43" t="s">
        <v>801</v>
      </c>
      <c r="E43" s="231">
        <v>30804.36</v>
      </c>
    </row>
    <row r="44" spans="2:5" ht="32.25" hidden="1" thickBot="1">
      <c r="B44" s="70" t="s">
        <v>802</v>
      </c>
      <c r="C44" s="47"/>
      <c r="D44" s="44"/>
      <c r="E44" s="174"/>
    </row>
    <row r="45" spans="2:5" ht="20.25" thickBot="1">
      <c r="B45" s="14" t="s">
        <v>760</v>
      </c>
      <c r="C45" s="17"/>
      <c r="E45" s="263">
        <f>E59</f>
        <v>602068.07</v>
      </c>
    </row>
    <row r="46" spans="2:5" ht="15.75" thickBot="1">
      <c r="B46" s="150" t="s">
        <v>672</v>
      </c>
      <c r="C46" s="15" t="s">
        <v>920</v>
      </c>
      <c r="D46" s="49" t="s">
        <v>673</v>
      </c>
      <c r="E46" s="176" t="s">
        <v>793</v>
      </c>
    </row>
    <row r="47" spans="2:5" ht="15.75">
      <c r="B47" s="217" t="s">
        <v>816</v>
      </c>
      <c r="C47" s="255" t="s">
        <v>661</v>
      </c>
      <c r="D47" s="149"/>
      <c r="E47" s="266">
        <v>2018.98</v>
      </c>
    </row>
    <row r="48" spans="2:5" ht="15.75">
      <c r="B48" s="188" t="s">
        <v>997</v>
      </c>
      <c r="C48" s="255" t="s">
        <v>661</v>
      </c>
      <c r="D48" s="154"/>
      <c r="E48" s="266">
        <f>29263.36+16507.73</f>
        <v>45771.09</v>
      </c>
    </row>
    <row r="49" spans="2:5" ht="14.25">
      <c r="B49" s="188" t="s">
        <v>1000</v>
      </c>
      <c r="C49" s="255" t="s">
        <v>661</v>
      </c>
      <c r="D49" s="153"/>
      <c r="E49" s="177">
        <f>93017.38+142791.85</f>
        <v>235809.23</v>
      </c>
    </row>
    <row r="50" spans="2:5" ht="14.25">
      <c r="B50" s="188" t="s">
        <v>930</v>
      </c>
      <c r="C50" s="255" t="s">
        <v>661</v>
      </c>
      <c r="D50" s="153"/>
      <c r="E50" s="177">
        <v>762.86</v>
      </c>
    </row>
    <row r="51" spans="2:5" ht="14.25">
      <c r="B51" s="151" t="s">
        <v>676</v>
      </c>
      <c r="C51" s="116"/>
      <c r="D51" s="153"/>
      <c r="E51" s="177"/>
    </row>
    <row r="52" spans="2:5" ht="14.25">
      <c r="B52" s="132" t="s">
        <v>883</v>
      </c>
      <c r="C52" s="74" t="s">
        <v>661</v>
      </c>
      <c r="D52" s="153"/>
      <c r="E52" s="179">
        <f>39883.45+67291.11+1420.06</f>
        <v>108594.62</v>
      </c>
    </row>
    <row r="53" spans="2:5" ht="14.25">
      <c r="B53" s="157" t="s">
        <v>880</v>
      </c>
      <c r="C53" s="74" t="s">
        <v>661</v>
      </c>
      <c r="D53" s="152"/>
      <c r="E53" s="177">
        <f>77415.84+1576.1</f>
        <v>78991.94</v>
      </c>
    </row>
    <row r="54" spans="2:5" ht="14.25">
      <c r="B54" s="157" t="s">
        <v>925</v>
      </c>
      <c r="C54" s="74" t="s">
        <v>661</v>
      </c>
      <c r="D54" s="152"/>
      <c r="E54" s="177">
        <f>77742.38+1289.97</f>
        <v>79032.35</v>
      </c>
    </row>
    <row r="55" spans="2:5" ht="15">
      <c r="B55" s="151" t="s">
        <v>1025</v>
      </c>
      <c r="C55" s="118"/>
      <c r="D55" s="152"/>
      <c r="E55" s="220"/>
    </row>
    <row r="56" spans="2:5" ht="14.25">
      <c r="B56" s="159" t="s">
        <v>998</v>
      </c>
      <c r="C56" s="74" t="s">
        <v>661</v>
      </c>
      <c r="D56" s="152"/>
      <c r="E56" s="177">
        <f>35264.11+13760</f>
        <v>49024.11</v>
      </c>
    </row>
    <row r="57" spans="2:5" ht="15">
      <c r="B57" s="159" t="s">
        <v>929</v>
      </c>
      <c r="C57" s="74" t="s">
        <v>661</v>
      </c>
      <c r="D57" s="13"/>
      <c r="E57" s="268">
        <v>2062.89</v>
      </c>
    </row>
    <row r="58" spans="2:5" ht="12.75" hidden="1">
      <c r="B58" s="13"/>
      <c r="C58" s="13"/>
      <c r="D58" s="13"/>
      <c r="E58" s="85"/>
    </row>
    <row r="59" spans="2:5" ht="12.75" hidden="1">
      <c r="B59" s="117" t="s">
        <v>1014</v>
      </c>
      <c r="C59" s="13"/>
      <c r="D59" s="13"/>
      <c r="E59" s="256">
        <f>E47+E52+E53+E56+E57+E49+E54+E50+E48</f>
        <v>602068.07</v>
      </c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03"/>
      <c r="C63" s="11"/>
      <c r="D63" s="11"/>
      <c r="E63" s="207"/>
    </row>
    <row r="64" spans="2:5" ht="12.75">
      <c r="B64" s="11"/>
      <c r="C64" s="11"/>
      <c r="D64" s="11"/>
      <c r="E64" s="207"/>
    </row>
    <row r="65" spans="2:5" ht="15.75">
      <c r="B65" s="6" t="s">
        <v>830</v>
      </c>
      <c r="C65" s="6" t="s">
        <v>889</v>
      </c>
      <c r="E65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</sheetPr>
  <dimension ref="A3:I9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4.421875" style="1" customWidth="1"/>
    <col min="2" max="2" width="11.28125" style="1" customWidth="1"/>
    <col min="3" max="3" width="11.8515625" style="1" customWidth="1"/>
    <col min="4" max="4" width="14.00390625" style="1" customWidth="1"/>
    <col min="5" max="5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3.5" customHeight="1">
      <c r="A8" s="26"/>
      <c r="B8" s="26"/>
      <c r="C8"/>
    </row>
    <row r="9" spans="1:4" ht="15">
      <c r="A9" s="1343" t="s">
        <v>492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0">
        <v>139427.55</v>
      </c>
      <c r="D13" s="1371"/>
    </row>
    <row r="14" spans="1:4" ht="15">
      <c r="A14" s="471" t="s">
        <v>538</v>
      </c>
      <c r="B14" s="473"/>
      <c r="C14" s="1316">
        <v>950192.42</v>
      </c>
      <c r="D14" s="1317"/>
    </row>
    <row r="15" spans="1:4" ht="15">
      <c r="A15" s="470" t="s">
        <v>647</v>
      </c>
      <c r="B15" s="474"/>
      <c r="C15" s="1338">
        <v>973697.23</v>
      </c>
      <c r="D15" s="1339"/>
    </row>
    <row r="16" spans="1:4" ht="15">
      <c r="A16" s="475" t="s">
        <v>348</v>
      </c>
      <c r="B16" s="476"/>
      <c r="C16" s="1318">
        <f>C13+C14-C15</f>
        <v>115922.73999999999</v>
      </c>
      <c r="D16" s="1319"/>
    </row>
    <row r="17" spans="1:4" ht="14.25">
      <c r="A17" s="470" t="s">
        <v>540</v>
      </c>
      <c r="B17" s="474"/>
      <c r="C17" s="1334">
        <v>746986.7</v>
      </c>
      <c r="D17" s="1335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455"/>
      <c r="C24" s="456"/>
      <c r="D24" s="468"/>
    </row>
    <row r="25" spans="1:4" ht="26.25">
      <c r="A25" s="537" t="s">
        <v>105</v>
      </c>
      <c r="B25" s="637" t="s">
        <v>652</v>
      </c>
      <c r="C25" s="536"/>
      <c r="D25" s="528">
        <v>180184.89</v>
      </c>
    </row>
    <row r="26" spans="1:4" ht="15">
      <c r="A26" s="389" t="s">
        <v>654</v>
      </c>
      <c r="B26" s="398" t="s">
        <v>656</v>
      </c>
      <c r="C26" s="398" t="s">
        <v>801</v>
      </c>
      <c r="D26" s="509">
        <v>105567.22</v>
      </c>
    </row>
    <row r="27" spans="1:4" ht="24.75">
      <c r="A27" s="537" t="s">
        <v>14</v>
      </c>
      <c r="B27" s="397" t="s">
        <v>657</v>
      </c>
      <c r="C27" s="506"/>
      <c r="D27" s="507">
        <v>131972.71</v>
      </c>
    </row>
    <row r="28" spans="1:4" ht="15">
      <c r="A28" s="389" t="s">
        <v>931</v>
      </c>
      <c r="B28" s="399" t="s">
        <v>661</v>
      </c>
      <c r="C28" s="508"/>
      <c r="D28" s="509">
        <v>1432.1</v>
      </c>
    </row>
    <row r="29" spans="1:4" ht="19.5" customHeight="1">
      <c r="A29" s="389" t="s">
        <v>717</v>
      </c>
      <c r="B29" s="399"/>
      <c r="C29" s="508"/>
      <c r="D29" s="509">
        <v>9349.11</v>
      </c>
    </row>
    <row r="30" spans="1:4" ht="15.75" thickBot="1">
      <c r="A30" s="413" t="s">
        <v>19</v>
      </c>
      <c r="B30" s="673" t="s">
        <v>661</v>
      </c>
      <c r="C30" s="617"/>
      <c r="D30" s="618">
        <v>17251.14</v>
      </c>
    </row>
    <row r="31" spans="1:4" ht="15.75" thickBot="1">
      <c r="A31" s="805" t="s">
        <v>701</v>
      </c>
      <c r="B31" s="927"/>
      <c r="C31" s="854"/>
      <c r="D31" s="928">
        <v>445757.17</v>
      </c>
    </row>
    <row r="32" spans="1:4" ht="15.75" thickBot="1">
      <c r="A32" s="487" t="s">
        <v>732</v>
      </c>
      <c r="B32" s="461"/>
      <c r="C32" s="462"/>
      <c r="D32" s="463"/>
    </row>
    <row r="33" spans="1:4" ht="15">
      <c r="A33" s="465" t="s">
        <v>733</v>
      </c>
      <c r="B33" s="514" t="s">
        <v>920</v>
      </c>
      <c r="C33" s="515" t="s">
        <v>673</v>
      </c>
      <c r="D33" s="516"/>
    </row>
    <row r="34" spans="1:4" ht="28.5">
      <c r="A34" s="537" t="s">
        <v>737</v>
      </c>
      <c r="B34" s="410" t="s">
        <v>40</v>
      </c>
      <c r="C34" s="443">
        <v>2</v>
      </c>
      <c r="D34" s="444">
        <v>1952.75</v>
      </c>
    </row>
    <row r="35" spans="1:4" ht="14.25">
      <c r="A35" s="537" t="s">
        <v>60</v>
      </c>
      <c r="B35" s="924" t="s">
        <v>817</v>
      </c>
      <c r="C35" s="443"/>
      <c r="D35" s="444">
        <v>3738.36</v>
      </c>
    </row>
    <row r="36" spans="1:4" ht="15">
      <c r="A36" s="537" t="s">
        <v>1013</v>
      </c>
      <c r="B36" s="410"/>
      <c r="C36" s="443">
        <v>1</v>
      </c>
      <c r="D36" s="434">
        <v>3101.52</v>
      </c>
    </row>
    <row r="37" spans="1:4" ht="15">
      <c r="A37" s="359" t="s">
        <v>738</v>
      </c>
      <c r="B37" s="923"/>
      <c r="C37" s="410">
        <v>2</v>
      </c>
      <c r="D37" s="561">
        <v>6268.6</v>
      </c>
    </row>
    <row r="38" spans="1:4" ht="15.75" thickBot="1">
      <c r="A38" s="799" t="s">
        <v>241</v>
      </c>
      <c r="B38" s="873" t="s">
        <v>229</v>
      </c>
      <c r="C38" s="836">
        <v>1</v>
      </c>
      <c r="D38" s="836">
        <v>21401.43</v>
      </c>
    </row>
    <row r="39" spans="1:4" ht="15.75" thickBot="1">
      <c r="A39" s="879" t="s">
        <v>701</v>
      </c>
      <c r="B39" s="916"/>
      <c r="C39" s="925"/>
      <c r="D39" s="863">
        <v>36462.66</v>
      </c>
    </row>
    <row r="40" spans="1:4" ht="15">
      <c r="A40" s="926" t="s">
        <v>21</v>
      </c>
      <c r="B40" s="758" t="s">
        <v>478</v>
      </c>
      <c r="C40" s="439"/>
      <c r="D40" s="832"/>
    </row>
    <row r="41" spans="1:4" ht="15">
      <c r="A41" s="363" t="s">
        <v>235</v>
      </c>
      <c r="B41" s="365" t="s">
        <v>739</v>
      </c>
      <c r="C41" s="421">
        <v>2</v>
      </c>
      <c r="D41" s="421">
        <v>1764.38</v>
      </c>
    </row>
    <row r="42" spans="1:4" ht="15">
      <c r="A42" s="385" t="s">
        <v>690</v>
      </c>
      <c r="B42" s="365" t="s">
        <v>40</v>
      </c>
      <c r="C42" s="421">
        <v>2</v>
      </c>
      <c r="D42" s="421">
        <v>477.8</v>
      </c>
    </row>
    <row r="43" spans="1:4" ht="15">
      <c r="A43" s="363" t="s">
        <v>740</v>
      </c>
      <c r="B43" s="365" t="s">
        <v>40</v>
      </c>
      <c r="C43" s="421">
        <v>3</v>
      </c>
      <c r="D43" s="421">
        <v>2762.2</v>
      </c>
    </row>
    <row r="44" spans="1:4" ht="15">
      <c r="A44" s="363" t="s">
        <v>741</v>
      </c>
      <c r="B44" s="621"/>
      <c r="C44" s="441">
        <v>4</v>
      </c>
      <c r="D44" s="421">
        <v>2002.27</v>
      </c>
    </row>
    <row r="45" spans="1:4" ht="16.5" thickBot="1">
      <c r="A45" s="827"/>
      <c r="B45" s="758"/>
      <c r="C45" s="439"/>
      <c r="D45" s="439"/>
    </row>
    <row r="46" spans="1:4" ht="15.75" thickBot="1">
      <c r="A46" s="806" t="s">
        <v>701</v>
      </c>
      <c r="B46" s="811"/>
      <c r="C46" s="803"/>
      <c r="D46" s="863">
        <v>7006.65</v>
      </c>
    </row>
    <row r="47" spans="1:4" ht="15">
      <c r="A47" s="917" t="s">
        <v>23</v>
      </c>
      <c r="B47" s="919"/>
      <c r="C47" s="920"/>
      <c r="D47" s="918"/>
    </row>
    <row r="48" spans="1:4" ht="15">
      <c r="A48" s="389" t="s">
        <v>64</v>
      </c>
      <c r="B48" s="747" t="s">
        <v>328</v>
      </c>
      <c r="C48" s="508">
        <v>1</v>
      </c>
      <c r="D48" s="393">
        <v>326.3</v>
      </c>
    </row>
    <row r="49" spans="1:4" ht="29.25">
      <c r="A49" s="389" t="s">
        <v>742</v>
      </c>
      <c r="B49" s="747"/>
      <c r="C49" s="508">
        <v>3</v>
      </c>
      <c r="D49" s="393">
        <v>1378.1</v>
      </c>
    </row>
    <row r="50" spans="1:4" ht="15">
      <c r="A50" s="389" t="s">
        <v>710</v>
      </c>
      <c r="B50" s="747"/>
      <c r="C50" s="508"/>
      <c r="D50" s="393">
        <v>26603</v>
      </c>
    </row>
    <row r="51" spans="1:4" ht="15.75" thickBot="1">
      <c r="A51" s="921"/>
      <c r="B51" s="816"/>
      <c r="C51" s="610"/>
      <c r="D51" s="794"/>
    </row>
    <row r="52" spans="1:9" ht="15.75" thickBot="1">
      <c r="A52" s="806" t="s">
        <v>1014</v>
      </c>
      <c r="B52" s="811"/>
      <c r="C52" s="803"/>
      <c r="D52" s="863">
        <v>28307.4</v>
      </c>
      <c r="I52" s="319"/>
    </row>
    <row r="53" spans="1:4" ht="15">
      <c r="A53" s="465" t="s">
        <v>27</v>
      </c>
      <c r="B53" s="800"/>
      <c r="C53" s="441"/>
      <c r="D53" s="441"/>
    </row>
    <row r="54" spans="1:4" ht="15">
      <c r="A54" s="359" t="s">
        <v>479</v>
      </c>
      <c r="B54" s="621" t="s">
        <v>52</v>
      </c>
      <c r="C54" s="421">
        <v>2</v>
      </c>
      <c r="D54" s="555">
        <v>390.05</v>
      </c>
    </row>
    <row r="55" spans="1:4" ht="15">
      <c r="A55" s="359" t="s">
        <v>212</v>
      </c>
      <c r="B55" s="365" t="s">
        <v>81</v>
      </c>
      <c r="C55" s="421">
        <v>2</v>
      </c>
      <c r="D55" s="555">
        <v>3028.33</v>
      </c>
    </row>
    <row r="56" spans="1:4" ht="15">
      <c r="A56" s="359" t="s">
        <v>1020</v>
      </c>
      <c r="B56" s="365" t="s">
        <v>478</v>
      </c>
      <c r="C56" s="421">
        <v>2</v>
      </c>
      <c r="D56" s="422">
        <v>8779.1</v>
      </c>
    </row>
    <row r="57" spans="1:4" ht="15.75" thickBot="1">
      <c r="A57" s="807" t="s">
        <v>882</v>
      </c>
      <c r="B57" s="621"/>
      <c r="C57" s="439">
        <v>6</v>
      </c>
      <c r="D57" s="424">
        <v>7117.63</v>
      </c>
    </row>
    <row r="58" spans="1:8" ht="16.5" thickBot="1">
      <c r="A58" s="806" t="s">
        <v>701</v>
      </c>
      <c r="B58" s="811"/>
      <c r="C58" s="803"/>
      <c r="D58" s="533">
        <v>19315.11</v>
      </c>
      <c r="G58" s="521"/>
      <c r="H58" s="522"/>
    </row>
    <row r="59" spans="1:8" ht="15">
      <c r="A59" s="890" t="s">
        <v>693</v>
      </c>
      <c r="B59" s="570"/>
      <c r="C59" s="441"/>
      <c r="D59" s="598"/>
      <c r="G59" s="416"/>
      <c r="H59" s="416"/>
    </row>
    <row r="60" spans="1:4" ht="15.75" thickBot="1">
      <c r="A60" s="377"/>
      <c r="B60" s="621"/>
      <c r="C60" s="441"/>
      <c r="D60" s="896"/>
    </row>
    <row r="61" spans="1:4" ht="15.75" thickBot="1">
      <c r="A61" s="807"/>
      <c r="B61" s="811"/>
      <c r="C61" s="439"/>
      <c r="D61" s="424"/>
    </row>
    <row r="62" spans="1:4" ht="15.75" thickBot="1">
      <c r="A62" s="806" t="s">
        <v>701</v>
      </c>
      <c r="B62" s="895"/>
      <c r="C62" s="803"/>
      <c r="D62" s="804"/>
    </row>
    <row r="63" spans="1:4" ht="15.75" thickBot="1">
      <c r="A63" s="894" t="s">
        <v>736</v>
      </c>
      <c r="B63" s="621" t="s">
        <v>478</v>
      </c>
      <c r="C63" s="441"/>
      <c r="D63" s="896"/>
    </row>
    <row r="64" spans="1:4" ht="15">
      <c r="A64" s="377" t="s">
        <v>886</v>
      </c>
      <c r="B64" s="365" t="s">
        <v>478</v>
      </c>
      <c r="C64" s="421">
        <v>10</v>
      </c>
      <c r="D64" s="425">
        <v>4221.96</v>
      </c>
    </row>
    <row r="65" spans="1:4" ht="15">
      <c r="A65" s="359" t="s">
        <v>342</v>
      </c>
      <c r="B65" s="365" t="s">
        <v>52</v>
      </c>
      <c r="C65" s="421">
        <v>1</v>
      </c>
      <c r="D65" s="424">
        <v>456.29</v>
      </c>
    </row>
    <row r="66" spans="1:4" ht="15">
      <c r="A66" s="359" t="s">
        <v>542</v>
      </c>
      <c r="B66" s="365"/>
      <c r="C66" s="421">
        <v>1</v>
      </c>
      <c r="D66" s="424">
        <v>114.36</v>
      </c>
    </row>
    <row r="67" spans="1:4" ht="15.75" thickBot="1">
      <c r="A67" s="359"/>
      <c r="B67" s="816" t="s">
        <v>478</v>
      </c>
      <c r="C67" s="421"/>
      <c r="D67" s="425"/>
    </row>
    <row r="68" spans="1:4" ht="15.75" thickBot="1">
      <c r="A68" s="390" t="s">
        <v>692</v>
      </c>
      <c r="B68" s="811"/>
      <c r="C68" s="674">
        <v>8</v>
      </c>
      <c r="D68" s="459">
        <v>11575.81</v>
      </c>
    </row>
    <row r="69" spans="1:4" ht="15.75" thickBot="1">
      <c r="A69" s="806" t="s">
        <v>701</v>
      </c>
      <c r="B69" s="811"/>
      <c r="C69" s="898"/>
      <c r="D69" s="533">
        <v>16368.42</v>
      </c>
    </row>
    <row r="70" spans="1:4" ht="15.75" thickBot="1">
      <c r="A70" s="894" t="s">
        <v>731</v>
      </c>
      <c r="B70" s="904"/>
      <c r="C70" s="898"/>
      <c r="D70" s="892">
        <v>107460.24</v>
      </c>
    </row>
    <row r="71" spans="1:4" ht="15.75" thickBot="1">
      <c r="A71" s="370"/>
      <c r="B71" s="929"/>
      <c r="C71" s="930"/>
      <c r="D71" s="878"/>
    </row>
    <row r="72" spans="1:4" ht="15.75" thickBot="1">
      <c r="A72" s="837" t="s">
        <v>734</v>
      </c>
      <c r="B72" s="825"/>
      <c r="C72" s="907"/>
      <c r="D72" s="858">
        <v>39090.82</v>
      </c>
    </row>
    <row r="73" spans="1:4" ht="15.75" thickBot="1">
      <c r="A73" s="915" t="s">
        <v>904</v>
      </c>
      <c r="B73" s="825"/>
      <c r="C73" s="907"/>
      <c r="D73" s="858">
        <v>16720.64</v>
      </c>
    </row>
    <row r="74" spans="1:4" ht="15.75" thickBot="1">
      <c r="A74" s="915" t="s">
        <v>735</v>
      </c>
      <c r="B74" s="860"/>
      <c r="C74" s="907"/>
      <c r="D74" s="858">
        <v>137957.83</v>
      </c>
    </row>
    <row r="75" spans="1:4" ht="15.75" thickBot="1">
      <c r="A75" s="915"/>
      <c r="B75" s="931"/>
      <c r="C75" s="550"/>
      <c r="D75" s="826"/>
    </row>
    <row r="76" spans="1:4" ht="15.75" thickBot="1">
      <c r="A76" s="884" t="s">
        <v>36</v>
      </c>
      <c r="B76" s="894"/>
      <c r="C76" s="883"/>
      <c r="D76" s="932">
        <v>746986.7</v>
      </c>
    </row>
    <row r="77" spans="1:4" ht="15">
      <c r="A77" s="370"/>
      <c r="B77" s="11"/>
      <c r="C77" s="370"/>
      <c r="D77" s="371"/>
    </row>
    <row r="78" spans="1:4" ht="15">
      <c r="A78" s="71"/>
      <c r="B78" s="82"/>
      <c r="C78" s="11"/>
      <c r="D78" s="11"/>
    </row>
    <row r="79" spans="1:4" ht="12.75">
      <c r="A79" s="1353"/>
      <c r="B79" s="1354"/>
      <c r="C79" s="374"/>
      <c r="D79" s="442"/>
    </row>
    <row r="80" spans="1:4" ht="12.75">
      <c r="A80" s="1355"/>
      <c r="B80" s="1356"/>
      <c r="C80" s="559"/>
      <c r="D80" s="559"/>
    </row>
    <row r="81" spans="1:4" ht="15">
      <c r="A81" s="1251" t="s">
        <v>568</v>
      </c>
      <c r="B81" s="1257"/>
      <c r="C81" s="467"/>
      <c r="D81" s="467">
        <v>0</v>
      </c>
    </row>
    <row r="82" spans="1:4" ht="15">
      <c r="A82" s="1332" t="s">
        <v>569</v>
      </c>
      <c r="B82" s="1332"/>
      <c r="C82" s="628"/>
      <c r="D82" s="608">
        <v>973697.23</v>
      </c>
    </row>
    <row r="83" spans="1:4" ht="15">
      <c r="A83" s="1332" t="s">
        <v>570</v>
      </c>
      <c r="B83" s="1332"/>
      <c r="C83" s="607"/>
      <c r="D83" s="608">
        <v>746986.7</v>
      </c>
    </row>
    <row r="84" spans="1:4" ht="15">
      <c r="A84" s="1333" t="s">
        <v>571</v>
      </c>
      <c r="B84" s="1333"/>
      <c r="C84" s="629"/>
      <c r="D84" s="629">
        <v>-226710.53</v>
      </c>
    </row>
    <row r="85" spans="1:4" ht="15">
      <c r="A85" s="1332" t="s">
        <v>179</v>
      </c>
      <c r="B85" s="1332"/>
      <c r="C85" s="1258"/>
      <c r="D85" s="630">
        <v>-226710.53</v>
      </c>
    </row>
    <row r="89" spans="1:3" ht="12.75">
      <c r="A89" s="1" t="s">
        <v>181</v>
      </c>
      <c r="C89" s="1" t="s">
        <v>573</v>
      </c>
    </row>
    <row r="92" ht="12.75">
      <c r="A92" s="690"/>
    </row>
    <row r="93" ht="12.75">
      <c r="A93" s="690"/>
    </row>
    <row r="94" ht="12.75">
      <c r="A94" s="735" t="s">
        <v>357</v>
      </c>
    </row>
    <row r="95" ht="12.75">
      <c r="A95" s="735" t="s">
        <v>906</v>
      </c>
    </row>
    <row r="96" ht="12.75">
      <c r="A96" s="735" t="s">
        <v>358</v>
      </c>
    </row>
  </sheetData>
  <sheetProtection/>
  <mergeCells count="19">
    <mergeCell ref="A85:B85"/>
    <mergeCell ref="A79:B80"/>
    <mergeCell ref="A82:B82"/>
    <mergeCell ref="A83:B83"/>
    <mergeCell ref="A84:B84"/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99CC"/>
  </sheetPr>
  <dimension ref="A3:D96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312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488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7">
        <v>147316.02</v>
      </c>
      <c r="D13" s="1378"/>
    </row>
    <row r="14" spans="1:4" ht="14.25">
      <c r="A14" s="471" t="s">
        <v>538</v>
      </c>
      <c r="B14" s="473"/>
      <c r="C14" s="1375">
        <v>866881.01</v>
      </c>
      <c r="D14" s="1376"/>
    </row>
    <row r="15" spans="1:4" ht="14.25">
      <c r="A15" s="470" t="s">
        <v>647</v>
      </c>
      <c r="B15" s="474"/>
      <c r="C15" s="1312">
        <v>887746.99</v>
      </c>
      <c r="D15" s="1313"/>
    </row>
    <row r="16" spans="1:4" ht="15">
      <c r="A16" s="475" t="s">
        <v>348</v>
      </c>
      <c r="B16" s="476"/>
      <c r="C16" s="1377">
        <f>C13+C14-C15</f>
        <v>126450.04000000004</v>
      </c>
      <c r="D16" s="1378"/>
    </row>
    <row r="17" spans="1:4" ht="14.25">
      <c r="A17" s="470" t="s">
        <v>498</v>
      </c>
      <c r="B17" s="474"/>
      <c r="C17" s="1407">
        <v>800116.56</v>
      </c>
      <c r="D17" s="1408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173877.62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101871.9</v>
      </c>
    </row>
    <row r="27" spans="1:4" ht="24.75">
      <c r="A27" s="389" t="s">
        <v>14</v>
      </c>
      <c r="B27" s="399" t="s">
        <v>657</v>
      </c>
      <c r="C27" s="508"/>
      <c r="D27" s="393">
        <v>127353.07</v>
      </c>
    </row>
    <row r="28" spans="1:4" ht="21" customHeight="1">
      <c r="A28" s="546" t="s">
        <v>395</v>
      </c>
      <c r="B28" s="397"/>
      <c r="C28" s="506"/>
      <c r="D28" s="507">
        <v>6207.64</v>
      </c>
    </row>
    <row r="29" spans="1:4" ht="15">
      <c r="A29" s="413" t="s">
        <v>909</v>
      </c>
      <c r="B29" s="399" t="s">
        <v>661</v>
      </c>
      <c r="C29" s="508"/>
      <c r="D29" s="509">
        <v>488.1</v>
      </c>
    </row>
    <row r="30" spans="1:4" ht="15.75" thickBot="1">
      <c r="A30" s="413" t="s">
        <v>799</v>
      </c>
      <c r="B30" s="673" t="s">
        <v>661</v>
      </c>
      <c r="C30" s="1173"/>
      <c r="D30" s="595">
        <v>12074.53</v>
      </c>
    </row>
    <row r="31" spans="1:4" ht="15.75" thickBot="1">
      <c r="A31" s="805" t="s">
        <v>701</v>
      </c>
      <c r="B31" s="980"/>
      <c r="C31" s="981"/>
      <c r="D31" s="839">
        <v>421872.86</v>
      </c>
    </row>
    <row r="32" spans="1:4" ht="15.75" thickBot="1">
      <c r="A32" s="487" t="s">
        <v>252</v>
      </c>
      <c r="B32" s="461"/>
      <c r="C32" s="462"/>
      <c r="D32" s="463"/>
    </row>
    <row r="33" spans="1:4" ht="24">
      <c r="A33" s="51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59" t="s">
        <v>11</v>
      </c>
      <c r="B34" s="759"/>
      <c r="C34" s="421"/>
      <c r="D34" s="532">
        <v>17603.19</v>
      </c>
    </row>
    <row r="35" spans="1:4" ht="15">
      <c r="A35" s="389" t="s">
        <v>254</v>
      </c>
      <c r="B35" s="746"/>
      <c r="C35" s="491">
        <v>2</v>
      </c>
      <c r="D35" s="402">
        <v>8378.22</v>
      </c>
    </row>
    <row r="36" spans="1:4" ht="15">
      <c r="A36" s="385" t="s">
        <v>109</v>
      </c>
      <c r="B36" s="365" t="s">
        <v>478</v>
      </c>
      <c r="C36" s="441">
        <v>3</v>
      </c>
      <c r="D36" s="532">
        <v>1834.06</v>
      </c>
    </row>
    <row r="37" spans="1:4" ht="15.75" thickBot="1">
      <c r="A37" s="843" t="s">
        <v>253</v>
      </c>
      <c r="B37" s="758"/>
      <c r="C37" s="439">
        <v>2</v>
      </c>
      <c r="D37" s="541">
        <v>3760.25</v>
      </c>
    </row>
    <row r="38" spans="1:4" ht="15.75" thickBot="1">
      <c r="A38" s="806" t="s">
        <v>701</v>
      </c>
      <c r="B38" s="825"/>
      <c r="C38" s="803"/>
      <c r="D38" s="858">
        <v>31575.72</v>
      </c>
    </row>
    <row r="39" spans="1:4" ht="15">
      <c r="A39" s="808" t="s">
        <v>445</v>
      </c>
      <c r="B39" s="800"/>
      <c r="C39" s="441"/>
      <c r="D39" s="441"/>
    </row>
    <row r="40" spans="1:4" ht="15">
      <c r="A40" s="377" t="s">
        <v>324</v>
      </c>
      <c r="B40" s="365" t="s">
        <v>52</v>
      </c>
      <c r="C40" s="421">
        <v>3</v>
      </c>
      <c r="D40" s="422">
        <v>8170.86</v>
      </c>
    </row>
    <row r="41" spans="1:4" ht="15">
      <c r="A41" s="177" t="s">
        <v>255</v>
      </c>
      <c r="B41" s="365" t="s">
        <v>478</v>
      </c>
      <c r="C41" s="421">
        <v>6</v>
      </c>
      <c r="D41" s="555">
        <v>13933.4</v>
      </c>
    </row>
    <row r="42" spans="1:4" ht="15">
      <c r="A42" s="359" t="s">
        <v>393</v>
      </c>
      <c r="B42" s="365" t="s">
        <v>478</v>
      </c>
      <c r="C42" s="421">
        <v>19</v>
      </c>
      <c r="D42" s="555">
        <v>13207.93</v>
      </c>
    </row>
    <row r="43" spans="1:4" ht="15">
      <c r="A43" s="359" t="s">
        <v>64</v>
      </c>
      <c r="B43" s="365" t="s">
        <v>65</v>
      </c>
      <c r="C43" s="421">
        <v>3</v>
      </c>
      <c r="D43" s="555">
        <v>10648.77</v>
      </c>
    </row>
    <row r="44" spans="1:4" ht="15">
      <c r="A44" s="359" t="s">
        <v>378</v>
      </c>
      <c r="B44" s="365" t="s">
        <v>478</v>
      </c>
      <c r="C44" s="421">
        <v>1</v>
      </c>
      <c r="D44" s="555">
        <v>26603</v>
      </c>
    </row>
    <row r="45" spans="1:4" ht="15">
      <c r="A45" s="359" t="s">
        <v>67</v>
      </c>
      <c r="B45" s="365" t="s">
        <v>111</v>
      </c>
      <c r="C45" s="421">
        <v>5</v>
      </c>
      <c r="D45" s="555">
        <v>3648.17</v>
      </c>
    </row>
    <row r="46" spans="1:4" ht="15.75" customHeight="1">
      <c r="A46" s="359" t="s">
        <v>256</v>
      </c>
      <c r="B46" s="365" t="s">
        <v>478</v>
      </c>
      <c r="C46" s="421">
        <v>1</v>
      </c>
      <c r="D46" s="424">
        <v>281.95</v>
      </c>
    </row>
    <row r="47" spans="1:4" ht="15.75" thickBot="1">
      <c r="A47" s="807" t="s">
        <v>257</v>
      </c>
      <c r="B47" s="758" t="s">
        <v>478</v>
      </c>
      <c r="C47" s="439">
        <v>2</v>
      </c>
      <c r="D47" s="424">
        <v>6776</v>
      </c>
    </row>
    <row r="48" spans="1:4" ht="15.75" thickBot="1">
      <c r="A48" s="806" t="s">
        <v>701</v>
      </c>
      <c r="B48" s="811"/>
      <c r="C48" s="803"/>
      <c r="D48" s="841">
        <v>83270.08</v>
      </c>
    </row>
    <row r="49" spans="1:4" ht="15">
      <c r="A49" s="890" t="s">
        <v>780</v>
      </c>
      <c r="B49" s="570"/>
      <c r="C49" s="441"/>
      <c r="D49" s="441"/>
    </row>
    <row r="50" spans="1:4" ht="15">
      <c r="A50" s="387" t="s">
        <v>235</v>
      </c>
      <c r="B50" s="365" t="s">
        <v>211</v>
      </c>
      <c r="C50" s="421">
        <v>3</v>
      </c>
      <c r="D50" s="421">
        <v>8679.59</v>
      </c>
    </row>
    <row r="51" spans="1:4" ht="15">
      <c r="A51" s="387" t="s">
        <v>197</v>
      </c>
      <c r="B51" s="365"/>
      <c r="C51" s="421">
        <v>6</v>
      </c>
      <c r="D51" s="421">
        <v>2193.92</v>
      </c>
    </row>
    <row r="52" spans="1:4" ht="15">
      <c r="A52" s="387" t="s">
        <v>303</v>
      </c>
      <c r="B52" s="365" t="s">
        <v>478</v>
      </c>
      <c r="C52" s="421">
        <v>1</v>
      </c>
      <c r="D52" s="421">
        <v>611.77</v>
      </c>
    </row>
    <row r="53" spans="1:4" ht="15.75" thickBot="1">
      <c r="A53" s="526" t="s">
        <v>174</v>
      </c>
      <c r="B53" s="758" t="s">
        <v>258</v>
      </c>
      <c r="C53" s="439">
        <v>2</v>
      </c>
      <c r="D53" s="439">
        <v>1537.58</v>
      </c>
    </row>
    <row r="54" spans="1:4" ht="15.75" thickBot="1">
      <c r="A54" s="806" t="s">
        <v>701</v>
      </c>
      <c r="B54" s="811"/>
      <c r="C54" s="803"/>
      <c r="D54" s="863">
        <v>13022.86</v>
      </c>
    </row>
    <row r="55" spans="1:4" ht="15">
      <c r="A55" s="890" t="s">
        <v>424</v>
      </c>
      <c r="B55" s="570"/>
      <c r="C55" s="441"/>
      <c r="D55" s="441"/>
    </row>
    <row r="56" spans="1:4" ht="15">
      <c r="A56" s="387" t="s">
        <v>318</v>
      </c>
      <c r="B56" s="365" t="s">
        <v>211</v>
      </c>
      <c r="C56" s="421">
        <v>3</v>
      </c>
      <c r="D56" s="421">
        <v>8446.76</v>
      </c>
    </row>
    <row r="57" spans="1:4" ht="15">
      <c r="A57" s="387" t="s">
        <v>259</v>
      </c>
      <c r="B57" s="365" t="s">
        <v>478</v>
      </c>
      <c r="C57" s="421">
        <v>1</v>
      </c>
      <c r="D57" s="421">
        <v>91.47</v>
      </c>
    </row>
    <row r="58" spans="1:4" ht="15">
      <c r="A58" s="387" t="s">
        <v>221</v>
      </c>
      <c r="B58" s="365" t="s">
        <v>478</v>
      </c>
      <c r="C58" s="421">
        <v>4</v>
      </c>
      <c r="D58" s="421">
        <v>5012.13</v>
      </c>
    </row>
    <row r="59" spans="1:4" ht="15.75" thickBot="1">
      <c r="A59" s="540" t="s">
        <v>260</v>
      </c>
      <c r="B59" s="819"/>
      <c r="C59" s="404">
        <v>2</v>
      </c>
      <c r="D59" s="396">
        <v>1703.17</v>
      </c>
    </row>
    <row r="60" spans="1:4" ht="15.75" thickBot="1">
      <c r="A60" s="806" t="s">
        <v>701</v>
      </c>
      <c r="B60" s="811"/>
      <c r="C60" s="803"/>
      <c r="D60" s="841">
        <v>15253.53</v>
      </c>
    </row>
    <row r="61" spans="1:4" ht="15">
      <c r="A61" s="890" t="s">
        <v>425</v>
      </c>
      <c r="B61" s="570"/>
      <c r="C61" s="441"/>
      <c r="D61" s="441"/>
    </row>
    <row r="62" spans="1:4" ht="15">
      <c r="A62" s="387" t="s">
        <v>479</v>
      </c>
      <c r="B62" s="365" t="s">
        <v>52</v>
      </c>
      <c r="C62" s="421">
        <v>3</v>
      </c>
      <c r="D62" s="421">
        <v>1423.08</v>
      </c>
    </row>
    <row r="63" spans="1:4" ht="15">
      <c r="A63" s="387" t="s">
        <v>212</v>
      </c>
      <c r="B63" s="365" t="s">
        <v>81</v>
      </c>
      <c r="C63" s="421">
        <v>2</v>
      </c>
      <c r="D63" s="421">
        <v>3323.32</v>
      </c>
    </row>
    <row r="64" spans="1:4" ht="15">
      <c r="A64" s="387" t="s">
        <v>882</v>
      </c>
      <c r="B64" s="365"/>
      <c r="C64" s="421">
        <v>3</v>
      </c>
      <c r="D64" s="421">
        <v>3091.47</v>
      </c>
    </row>
    <row r="65" spans="1:4" ht="15.75" thickBot="1">
      <c r="A65" s="526" t="s">
        <v>1020</v>
      </c>
      <c r="B65" s="758" t="s">
        <v>478</v>
      </c>
      <c r="C65" s="439">
        <v>1</v>
      </c>
      <c r="D65" s="439">
        <v>4148.53</v>
      </c>
    </row>
    <row r="66" spans="1:4" ht="15.75" thickBot="1">
      <c r="A66" s="806" t="s">
        <v>901</v>
      </c>
      <c r="B66" s="811"/>
      <c r="C66" s="803"/>
      <c r="D66" s="863">
        <v>11986.4</v>
      </c>
    </row>
    <row r="67" spans="1:4" ht="15">
      <c r="A67" s="890" t="s">
        <v>261</v>
      </c>
      <c r="B67" s="570"/>
      <c r="C67" s="441"/>
      <c r="D67" s="441"/>
    </row>
    <row r="68" spans="1:4" ht="15">
      <c r="A68" s="387" t="s">
        <v>886</v>
      </c>
      <c r="B68" s="365" t="s">
        <v>478</v>
      </c>
      <c r="C68" s="421">
        <v>5</v>
      </c>
      <c r="D68" s="421">
        <v>2143.47</v>
      </c>
    </row>
    <row r="69" spans="1:4" ht="15">
      <c r="A69" s="387" t="s">
        <v>415</v>
      </c>
      <c r="B69" s="365" t="s">
        <v>52</v>
      </c>
      <c r="C69" s="421">
        <v>1</v>
      </c>
      <c r="D69" s="421">
        <v>166.44</v>
      </c>
    </row>
    <row r="70" spans="1:4" ht="15.75" thickBot="1">
      <c r="A70" s="359" t="s">
        <v>584</v>
      </c>
      <c r="B70" s="365"/>
      <c r="C70" s="421">
        <v>2</v>
      </c>
      <c r="D70" s="532">
        <v>1398.7</v>
      </c>
    </row>
    <row r="71" spans="1:4" ht="15.75" thickBot="1">
      <c r="A71" s="806" t="s">
        <v>701</v>
      </c>
      <c r="B71" s="811"/>
      <c r="C71" s="803"/>
      <c r="D71" s="533">
        <v>3708.61</v>
      </c>
    </row>
    <row r="72" spans="1:4" ht="15">
      <c r="A72" s="1081"/>
      <c r="B72" s="570"/>
      <c r="C72" s="441"/>
      <c r="D72" s="598"/>
    </row>
    <row r="73" spans="1:4" ht="15">
      <c r="A73" s="838" t="s">
        <v>262</v>
      </c>
      <c r="B73" s="365"/>
      <c r="C73" s="421"/>
      <c r="D73" s="869">
        <v>158817.2</v>
      </c>
    </row>
    <row r="74" spans="1:4" ht="15">
      <c r="A74" s="838"/>
      <c r="B74" s="365"/>
      <c r="C74" s="421"/>
      <c r="D74" s="532"/>
    </row>
    <row r="75" spans="1:4" ht="15">
      <c r="A75" s="383"/>
      <c r="B75" s="570"/>
      <c r="C75" s="441"/>
      <c r="D75" s="810"/>
    </row>
    <row r="76" spans="1:4" ht="15.75">
      <c r="A76" s="1157" t="s">
        <v>251</v>
      </c>
      <c r="B76" s="365"/>
      <c r="C76" s="431"/>
      <c r="D76" s="891">
        <v>37722.47</v>
      </c>
    </row>
    <row r="77" spans="1:4" ht="15">
      <c r="A77" s="808" t="s">
        <v>581</v>
      </c>
      <c r="B77" s="757"/>
      <c r="C77" s="427"/>
      <c r="D77" s="428">
        <v>33933.87</v>
      </c>
    </row>
    <row r="78" spans="1:4" ht="15">
      <c r="A78" s="955" t="s">
        <v>735</v>
      </c>
      <c r="B78" s="365"/>
      <c r="C78" s="427"/>
      <c r="D78" s="869">
        <v>147770.16</v>
      </c>
    </row>
    <row r="79" spans="1:4" ht="15.75" thickBot="1">
      <c r="A79" s="526"/>
      <c r="B79" s="758"/>
      <c r="C79" s="519"/>
      <c r="D79" s="541"/>
    </row>
    <row r="80" spans="1:4" ht="15.75" thickBot="1">
      <c r="A80" s="806" t="s">
        <v>918</v>
      </c>
      <c r="B80" s="811"/>
      <c r="C80" s="907"/>
      <c r="D80" s="858">
        <v>800116.56</v>
      </c>
    </row>
    <row r="81" spans="1:4" ht="15">
      <c r="A81" s="370"/>
      <c r="B81" s="370"/>
      <c r="C81" s="370"/>
      <c r="D81" s="371"/>
    </row>
    <row r="82" spans="1:4" ht="15">
      <c r="A82" s="370"/>
      <c r="B82" s="370"/>
      <c r="C82" s="370"/>
      <c r="D82" s="371"/>
    </row>
    <row r="83" spans="1:4" ht="14.25">
      <c r="A83" s="764"/>
      <c r="B83" s="358"/>
      <c r="C83" s="359"/>
      <c r="D83" s="1262"/>
    </row>
    <row r="84" spans="1:4" ht="15">
      <c r="A84" s="1251" t="s">
        <v>568</v>
      </c>
      <c r="B84" s="1257"/>
      <c r="C84" s="467"/>
      <c r="D84" s="467">
        <v>0</v>
      </c>
    </row>
    <row r="85" spans="1:4" ht="15">
      <c r="A85" s="1332" t="s">
        <v>569</v>
      </c>
      <c r="B85" s="1332"/>
      <c r="C85" s="628"/>
      <c r="D85" s="608">
        <v>887746.99</v>
      </c>
    </row>
    <row r="86" spans="1:4" ht="15">
      <c r="A86" s="1332" t="s">
        <v>570</v>
      </c>
      <c r="B86" s="1332"/>
      <c r="C86" s="607"/>
      <c r="D86" s="608">
        <v>800116.56</v>
      </c>
    </row>
    <row r="87" spans="1:4" ht="15">
      <c r="A87" s="1333" t="s">
        <v>571</v>
      </c>
      <c r="B87" s="1333"/>
      <c r="C87" s="629"/>
      <c r="D87" s="629">
        <v>-87630.43</v>
      </c>
    </row>
    <row r="88" spans="1:4" ht="15">
      <c r="A88" s="1332" t="s">
        <v>179</v>
      </c>
      <c r="B88" s="1332"/>
      <c r="C88" s="1258"/>
      <c r="D88" s="630">
        <v>-87630.43</v>
      </c>
    </row>
    <row r="89" spans="1:4" ht="15">
      <c r="A89" s="538"/>
      <c r="B89" s="538"/>
      <c r="C89" s="1259"/>
      <c r="D89" s="1260"/>
    </row>
    <row r="90" spans="1:4" ht="15">
      <c r="A90" s="538"/>
      <c r="B90" s="538"/>
      <c r="C90" s="1259"/>
      <c r="D90" s="1260"/>
    </row>
    <row r="91" spans="1:4" ht="15">
      <c r="A91" s="538"/>
      <c r="B91" s="538"/>
      <c r="C91" s="1259"/>
      <c r="D91" s="1260"/>
    </row>
    <row r="92" spans="1:4" ht="15">
      <c r="A92" s="538" t="s">
        <v>180</v>
      </c>
      <c r="B92" s="538"/>
      <c r="C92" s="1259" t="s">
        <v>573</v>
      </c>
      <c r="D92" s="1260"/>
    </row>
    <row r="93" spans="1:4" ht="15">
      <c r="A93" s="538"/>
      <c r="B93" s="538"/>
      <c r="C93" s="1259"/>
      <c r="D93" s="1260"/>
    </row>
    <row r="94" ht="12.75">
      <c r="A94" s="735" t="s">
        <v>357</v>
      </c>
    </row>
    <row r="95" ht="12" customHeight="1">
      <c r="A95" s="735" t="s">
        <v>906</v>
      </c>
    </row>
    <row r="96" ht="12" customHeight="1">
      <c r="A96" s="735" t="s">
        <v>358</v>
      </c>
    </row>
    <row r="97" ht="12" customHeight="1"/>
    <row r="98" ht="12" customHeight="1"/>
    <row r="99" ht="12" customHeight="1"/>
    <row r="100" ht="12" customHeight="1"/>
    <row r="101" ht="12" customHeight="1"/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85:B85"/>
    <mergeCell ref="A86:B86"/>
    <mergeCell ref="A87:B87"/>
    <mergeCell ref="A88:B88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8">
      <selection activeCell="G9" sqref="G9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574218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49</v>
      </c>
      <c r="C5" s="1391"/>
      <c r="D5"/>
    </row>
    <row r="6" spans="2:4" ht="18.75">
      <c r="B6" s="26"/>
      <c r="C6" s="26"/>
      <c r="D6"/>
    </row>
    <row r="7" spans="2:4" ht="15.75">
      <c r="B7" s="1392" t="s">
        <v>850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76483.04+230.92</f>
        <v>76713.95999999999</v>
      </c>
      <c r="E11" s="25">
        <v>12198.5</v>
      </c>
    </row>
    <row r="12" spans="2:5" ht="16.5" thickBot="1">
      <c r="B12" s="1398" t="s">
        <v>646</v>
      </c>
      <c r="C12" s="1399"/>
      <c r="D12" s="89">
        <v>212776.26</v>
      </c>
      <c r="E12" s="5">
        <v>41328.06</v>
      </c>
    </row>
    <row r="13" spans="2:5" ht="16.5" thickBot="1">
      <c r="B13" s="1398" t="s">
        <v>647</v>
      </c>
      <c r="C13" s="1399"/>
      <c r="D13" s="5">
        <v>200084.35</v>
      </c>
      <c r="E13" s="5">
        <v>39471.79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23503.11</v>
      </c>
      <c r="E15" s="5">
        <v>5470.87</v>
      </c>
    </row>
    <row r="16" spans="2:5" ht="16.5" thickBot="1">
      <c r="B16" s="1341" t="s">
        <v>47</v>
      </c>
      <c r="C16" s="1342"/>
      <c r="D16" s="5">
        <v>38592.32</v>
      </c>
      <c r="E16" s="5">
        <v>9864.95</v>
      </c>
    </row>
    <row r="17" spans="2:5" ht="16.5" thickBot="1">
      <c r="B17" s="1398" t="s">
        <v>648</v>
      </c>
      <c r="C17" s="1399"/>
      <c r="D17" s="5">
        <f>D11+D12-D13</f>
        <v>89405.86999999997</v>
      </c>
      <c r="E17" s="5">
        <f>E11+E12-E13</f>
        <v>14054.769999999997</v>
      </c>
    </row>
    <row r="18" spans="2:5" ht="16.5" thickBot="1">
      <c r="B18" s="1398" t="s">
        <v>806</v>
      </c>
      <c r="C18" s="1399"/>
      <c r="D18" s="267">
        <f>E24+E47</f>
        <v>63280.85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55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E25+E31+E33+E34+E35+E45</f>
        <v>52719.75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14882.21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24880.93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7406.3</v>
      </c>
    </row>
    <row r="34" spans="2:5" ht="16.5" hidden="1" thickBot="1">
      <c r="B34" s="67" t="s">
        <v>931</v>
      </c>
      <c r="C34" s="64" t="s">
        <v>661</v>
      </c>
      <c r="D34" s="43"/>
      <c r="E34" s="230">
        <v>0</v>
      </c>
    </row>
    <row r="35" spans="2:5" ht="16.5" hidden="1" thickBot="1">
      <c r="B35" s="67" t="s">
        <v>879</v>
      </c>
      <c r="C35" s="64" t="s">
        <v>825</v>
      </c>
      <c r="D35" s="43">
        <v>0.2</v>
      </c>
      <c r="E35" s="230">
        <v>0</v>
      </c>
    </row>
    <row r="36" spans="2:5" ht="16.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78.75" hidden="1" thickBot="1">
      <c r="B39" s="36" t="s">
        <v>790</v>
      </c>
      <c r="C39" s="65" t="s">
        <v>661</v>
      </c>
      <c r="D39" s="44"/>
      <c r="E39" s="174"/>
    </row>
    <row r="40" spans="2:5" ht="48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39.75" hidden="1" thickBot="1">
      <c r="B43" s="67" t="s">
        <v>670</v>
      </c>
      <c r="C43" s="64" t="s">
        <v>684</v>
      </c>
      <c r="D43" s="46"/>
      <c r="E43" s="240"/>
    </row>
    <row r="44" spans="2:5" ht="48" hidden="1" thickBot="1">
      <c r="B44" s="68" t="s">
        <v>800</v>
      </c>
      <c r="C44" s="65" t="s">
        <v>661</v>
      </c>
      <c r="D44" s="44"/>
      <c r="E44" s="174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5550.31</v>
      </c>
    </row>
    <row r="46" spans="2:5" ht="32.25" hidden="1" thickBot="1">
      <c r="B46" s="70" t="s">
        <v>802</v>
      </c>
      <c r="C46" s="47"/>
      <c r="D46" s="44"/>
      <c r="E46" s="174"/>
    </row>
    <row r="47" spans="2:5" ht="20.25" thickBot="1">
      <c r="B47" s="14" t="s">
        <v>760</v>
      </c>
      <c r="C47" s="17"/>
      <c r="E47" s="263">
        <f>E62</f>
        <v>10561.1</v>
      </c>
    </row>
    <row r="48" spans="2:5" ht="15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 hidden="1">
      <c r="B49" s="217" t="s">
        <v>816</v>
      </c>
      <c r="C49" s="255" t="s">
        <v>661</v>
      </c>
      <c r="D49" s="149"/>
      <c r="E49" s="266">
        <v>0</v>
      </c>
    </row>
    <row r="50" spans="2:5" ht="14.25">
      <c r="B50" s="188" t="s">
        <v>799</v>
      </c>
      <c r="C50" s="255" t="s">
        <v>817</v>
      </c>
      <c r="D50" s="153">
        <v>1581.8</v>
      </c>
      <c r="E50" s="177">
        <v>1301.92</v>
      </c>
    </row>
    <row r="51" spans="2:5" ht="14.25">
      <c r="B51" s="188" t="s">
        <v>997</v>
      </c>
      <c r="C51" s="255" t="s">
        <v>50</v>
      </c>
      <c r="D51" s="153">
        <v>0.7909</v>
      </c>
      <c r="E51" s="177">
        <v>863.94</v>
      </c>
    </row>
    <row r="52" spans="2:5" ht="14.25">
      <c r="B52" s="188"/>
      <c r="C52" s="115"/>
      <c r="D52" s="153"/>
      <c r="E52" s="177"/>
    </row>
    <row r="53" spans="2:5" ht="14.25">
      <c r="B53" s="151" t="s">
        <v>676</v>
      </c>
      <c r="C53" s="116"/>
      <c r="D53" s="152"/>
      <c r="E53" s="177"/>
    </row>
    <row r="54" spans="2:5" ht="14.25">
      <c r="B54" s="157" t="s">
        <v>51</v>
      </c>
      <c r="C54" s="74" t="s">
        <v>661</v>
      </c>
      <c r="D54" s="152">
        <v>1</v>
      </c>
      <c r="E54" s="177">
        <v>204.58</v>
      </c>
    </row>
    <row r="55" spans="2:5" ht="14.25">
      <c r="B55" s="157" t="s">
        <v>880</v>
      </c>
      <c r="C55" s="74" t="s">
        <v>661</v>
      </c>
      <c r="D55" s="152">
        <v>1</v>
      </c>
      <c r="E55" s="177">
        <v>204.58</v>
      </c>
    </row>
    <row r="56" spans="2:5" ht="14.25">
      <c r="B56" s="157" t="s">
        <v>925</v>
      </c>
      <c r="C56" s="74" t="s">
        <v>52</v>
      </c>
      <c r="D56" s="152">
        <v>4</v>
      </c>
      <c r="E56" s="177">
        <v>6020.96</v>
      </c>
    </row>
    <row r="57" spans="2:5" ht="14.25">
      <c r="B57" s="157" t="s">
        <v>53</v>
      </c>
      <c r="C57" s="74" t="s">
        <v>661</v>
      </c>
      <c r="D57" s="152">
        <v>1</v>
      </c>
      <c r="E57" s="177">
        <v>204.58</v>
      </c>
    </row>
    <row r="58" spans="2:5" ht="15">
      <c r="B58" s="151" t="s">
        <v>1025</v>
      </c>
      <c r="C58" s="118"/>
      <c r="D58" s="152"/>
      <c r="E58" s="220"/>
    </row>
    <row r="59" spans="2:5" ht="14.25">
      <c r="B59" s="159" t="s">
        <v>54</v>
      </c>
      <c r="C59" s="74" t="s">
        <v>885</v>
      </c>
      <c r="D59" s="152">
        <v>2</v>
      </c>
      <c r="E59" s="177">
        <v>1760.54</v>
      </c>
    </row>
    <row r="60" spans="2:5" ht="14.25" hidden="1">
      <c r="B60" s="159" t="s">
        <v>929</v>
      </c>
      <c r="C60" s="74" t="s">
        <v>661</v>
      </c>
      <c r="D60" s="50"/>
      <c r="E60" s="85">
        <v>0</v>
      </c>
    </row>
    <row r="61" spans="2:5" ht="12.75" hidden="1">
      <c r="B61" s="13"/>
      <c r="C61" s="13"/>
      <c r="D61" s="13"/>
      <c r="E61" s="85"/>
    </row>
    <row r="62" spans="2:5" ht="12.75" hidden="1">
      <c r="B62" s="117" t="s">
        <v>1014</v>
      </c>
      <c r="C62" s="13"/>
      <c r="D62" s="13"/>
      <c r="E62" s="256">
        <f>E49+E54+E55+E59+E60+E50+E56+E51+E57</f>
        <v>10561.1</v>
      </c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207"/>
    </row>
    <row r="66" spans="2:5" ht="12.75">
      <c r="B66" s="103"/>
      <c r="C66" s="11"/>
      <c r="D66" s="11"/>
      <c r="E66" s="207"/>
    </row>
    <row r="67" spans="2:5" ht="12.75">
      <c r="B67" s="11"/>
      <c r="C67" s="11"/>
      <c r="D67" s="11"/>
      <c r="E67" s="207"/>
    </row>
    <row r="68" spans="2:5" ht="15.75">
      <c r="B68" s="6" t="s">
        <v>830</v>
      </c>
      <c r="C68" s="6" t="s">
        <v>48</v>
      </c>
      <c r="E68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99CC"/>
  </sheetPr>
  <dimension ref="A3:I8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313</v>
      </c>
      <c r="B9" s="1343"/>
      <c r="C9" s="139"/>
      <c r="D9" s="139"/>
    </row>
    <row r="10" spans="1:4" ht="15.75" thickBot="1">
      <c r="A10" s="324"/>
      <c r="B10" s="324"/>
      <c r="C10" s="139"/>
      <c r="D10" s="139"/>
    </row>
    <row r="11" spans="1:4" ht="12.75" customHeight="1">
      <c r="A11" s="1366" t="s">
        <v>642</v>
      </c>
      <c r="B11" s="1320"/>
      <c r="C11" s="1427" t="s">
        <v>643</v>
      </c>
      <c r="D11" s="1428"/>
    </row>
    <row r="12" spans="1:4" ht="12.75">
      <c r="A12" s="1420"/>
      <c r="B12" s="1405"/>
      <c r="C12" s="1429" t="s">
        <v>186</v>
      </c>
      <c r="D12" s="1430"/>
    </row>
    <row r="13" spans="1:4" ht="12.75">
      <c r="A13" s="557"/>
      <c r="B13" s="718"/>
      <c r="C13" s="1431"/>
      <c r="D13" s="1430"/>
    </row>
    <row r="14" spans="1:4" ht="13.5" thickBot="1">
      <c r="A14" s="556"/>
      <c r="B14" s="718"/>
      <c r="C14" s="1432"/>
      <c r="D14" s="1433"/>
    </row>
    <row r="15" spans="1:4" ht="15.75" thickBot="1">
      <c r="A15" s="582" t="s">
        <v>347</v>
      </c>
      <c r="B15" s="696"/>
      <c r="C15" s="1434">
        <v>-57267.96</v>
      </c>
      <c r="D15" s="1435"/>
    </row>
    <row r="16" spans="1:4" ht="14.25">
      <c r="A16" s="471" t="s">
        <v>486</v>
      </c>
      <c r="B16" s="473"/>
      <c r="C16" s="1436">
        <v>418411.78</v>
      </c>
      <c r="D16" s="1437"/>
    </row>
    <row r="17" spans="1:4" ht="15" thickBot="1">
      <c r="A17" s="470" t="s">
        <v>647</v>
      </c>
      <c r="B17" s="474"/>
      <c r="C17" s="1421">
        <v>249596.79</v>
      </c>
      <c r="D17" s="1422"/>
    </row>
    <row r="18" spans="1:4" ht="15.75" thickBot="1">
      <c r="A18" s="475" t="s">
        <v>348</v>
      </c>
      <c r="B18" s="353"/>
      <c r="C18" s="1423">
        <v>111547.03</v>
      </c>
      <c r="D18" s="1424"/>
    </row>
    <row r="19" spans="1:4" ht="15" thickBot="1">
      <c r="A19" s="470" t="s">
        <v>498</v>
      </c>
      <c r="B19" s="474"/>
      <c r="C19" s="1425">
        <v>388425.62</v>
      </c>
      <c r="D19" s="1426"/>
    </row>
    <row r="20" spans="1:4" ht="12.75">
      <c r="A20" s="82"/>
      <c r="B20" s="83"/>
      <c r="C20" s="83"/>
      <c r="D20" s="83"/>
    </row>
    <row r="21" spans="2:4" ht="12.75">
      <c r="B21" s="83"/>
      <c r="C21" s="81"/>
      <c r="D21" s="314"/>
    </row>
    <row r="22" spans="1:4" ht="15.75">
      <c r="A22" s="1340" t="s">
        <v>650</v>
      </c>
      <c r="B22" s="1340"/>
      <c r="C22" s="1340"/>
      <c r="D22" s="1340"/>
    </row>
    <row r="23" spans="1:4" ht="15.75">
      <c r="A23" s="1340" t="s">
        <v>346</v>
      </c>
      <c r="B23" s="1340"/>
      <c r="C23" s="1340"/>
      <c r="D23" s="1340"/>
    </row>
    <row r="24" spans="1:4" ht="12.75">
      <c r="A24" s="82"/>
      <c r="B24" s="82"/>
      <c r="C24" s="103"/>
      <c r="D24" s="82"/>
    </row>
    <row r="25" spans="1:4" ht="26.25" thickBot="1">
      <c r="A25" s="501" t="s">
        <v>892</v>
      </c>
      <c r="B25" s="502" t="s">
        <v>667</v>
      </c>
      <c r="C25" s="499" t="s">
        <v>673</v>
      </c>
      <c r="D25" s="503" t="s">
        <v>793</v>
      </c>
    </row>
    <row r="26" spans="1:4" ht="16.5" thickBot="1">
      <c r="A26" s="477" t="s">
        <v>913</v>
      </c>
      <c r="B26" s="504"/>
      <c r="C26" s="456"/>
      <c r="D26" s="676"/>
    </row>
    <row r="27" spans="1:4" ht="26.25">
      <c r="A27" s="546" t="s">
        <v>105</v>
      </c>
      <c r="B27" s="637" t="s">
        <v>652</v>
      </c>
      <c r="C27" s="536"/>
      <c r="D27" s="528">
        <v>83956.64</v>
      </c>
    </row>
    <row r="28" spans="1:4" ht="15">
      <c r="A28" s="492" t="s">
        <v>654</v>
      </c>
      <c r="B28" s="398" t="s">
        <v>656</v>
      </c>
      <c r="C28" s="398" t="s">
        <v>801</v>
      </c>
      <c r="D28" s="509">
        <v>49188.75</v>
      </c>
    </row>
    <row r="29" spans="1:4" ht="24.75">
      <c r="A29" s="546" t="s">
        <v>14</v>
      </c>
      <c r="B29" s="397" t="s">
        <v>657</v>
      </c>
      <c r="C29" s="506"/>
      <c r="D29" s="507">
        <v>61492.31</v>
      </c>
    </row>
    <row r="30" spans="1:4" ht="14.25" customHeight="1">
      <c r="A30" s="492" t="s">
        <v>395</v>
      </c>
      <c r="B30" s="399"/>
      <c r="C30" s="508"/>
      <c r="D30" s="509">
        <v>4607.55</v>
      </c>
    </row>
    <row r="31" spans="1:4" ht="15.75" thickBot="1">
      <c r="A31" s="510" t="s">
        <v>263</v>
      </c>
      <c r="B31" s="673" t="s">
        <v>661</v>
      </c>
      <c r="C31" s="617"/>
      <c r="D31" s="618">
        <v>22919.48</v>
      </c>
    </row>
    <row r="32" spans="1:4" ht="15.75" thickBot="1">
      <c r="A32" s="805" t="s">
        <v>701</v>
      </c>
      <c r="B32" s="980"/>
      <c r="C32" s="981"/>
      <c r="D32" s="839">
        <v>222164.73</v>
      </c>
    </row>
    <row r="33" spans="1:4" ht="15.75" thickBot="1">
      <c r="A33" s="487" t="s">
        <v>607</v>
      </c>
      <c r="B33" s="461"/>
      <c r="C33" s="462"/>
      <c r="D33" s="463"/>
    </row>
    <row r="34" spans="1:4" ht="24">
      <c r="A34" s="943" t="s">
        <v>194</v>
      </c>
      <c r="B34" s="514" t="s">
        <v>920</v>
      </c>
      <c r="C34" s="515" t="s">
        <v>673</v>
      </c>
      <c r="D34" s="516" t="s">
        <v>793</v>
      </c>
    </row>
    <row r="35" spans="1:4" ht="15">
      <c r="A35" s="383" t="s">
        <v>11</v>
      </c>
      <c r="B35" s="382"/>
      <c r="C35" s="441">
        <v>1</v>
      </c>
      <c r="D35" s="441">
        <v>9476.99</v>
      </c>
    </row>
    <row r="36" spans="1:4" ht="15.75">
      <c r="A36" s="547" t="s">
        <v>420</v>
      </c>
      <c r="B36" s="358"/>
      <c r="C36" s="421">
        <v>1</v>
      </c>
      <c r="D36" s="441">
        <v>5479.08</v>
      </c>
    </row>
    <row r="37" spans="1:4" ht="30" thickBot="1">
      <c r="A37" s="390" t="s">
        <v>264</v>
      </c>
      <c r="B37" s="748" t="s">
        <v>40</v>
      </c>
      <c r="C37" s="674">
        <v>1</v>
      </c>
      <c r="D37" s="459">
        <v>808.36</v>
      </c>
    </row>
    <row r="38" spans="1:4" ht="15.75" thickBot="1">
      <c r="A38" s="806" t="s">
        <v>701</v>
      </c>
      <c r="B38" s="957"/>
      <c r="C38" s="803"/>
      <c r="D38" s="858">
        <v>15764.43</v>
      </c>
    </row>
    <row r="39" spans="1:4" ht="15">
      <c r="A39" s="808" t="s">
        <v>445</v>
      </c>
      <c r="B39" s="376"/>
      <c r="C39" s="441"/>
      <c r="D39" s="441"/>
    </row>
    <row r="40" spans="1:4" ht="15">
      <c r="A40" s="359" t="s">
        <v>265</v>
      </c>
      <c r="B40" s="361" t="s">
        <v>40</v>
      </c>
      <c r="C40" s="421">
        <v>2</v>
      </c>
      <c r="D40" s="555">
        <v>503.15</v>
      </c>
    </row>
    <row r="41" spans="1:4" ht="15">
      <c r="A41" s="359" t="s">
        <v>972</v>
      </c>
      <c r="B41" s="361" t="s">
        <v>40</v>
      </c>
      <c r="C41" s="421">
        <v>1</v>
      </c>
      <c r="D41" s="425">
        <v>26603</v>
      </c>
    </row>
    <row r="42" spans="1:4" ht="15.75" thickBot="1">
      <c r="A42" s="807" t="s">
        <v>455</v>
      </c>
      <c r="B42" s="978"/>
      <c r="C42" s="807">
        <v>1</v>
      </c>
      <c r="D42" s="424">
        <v>1963.86</v>
      </c>
    </row>
    <row r="43" spans="1:9" ht="15.75" thickBot="1">
      <c r="A43" s="805" t="s">
        <v>701</v>
      </c>
      <c r="B43" s="1186"/>
      <c r="C43" s="1187"/>
      <c r="D43" s="1190">
        <v>29070.01</v>
      </c>
      <c r="I43" s="1067"/>
    </row>
    <row r="44" spans="1:9" ht="15">
      <c r="A44" s="1188" t="s">
        <v>780</v>
      </c>
      <c r="B44" s="814"/>
      <c r="C44" s="1121"/>
      <c r="D44" s="631"/>
      <c r="I44" s="1067"/>
    </row>
    <row r="45" spans="1:9" ht="15">
      <c r="A45" s="1120" t="s">
        <v>235</v>
      </c>
      <c r="B45" s="814" t="s">
        <v>211</v>
      </c>
      <c r="C45" s="1121">
        <v>1</v>
      </c>
      <c r="D45" s="631">
        <v>3035.08</v>
      </c>
      <c r="I45" s="1067"/>
    </row>
    <row r="46" spans="1:9" ht="15">
      <c r="A46" s="1120" t="s">
        <v>266</v>
      </c>
      <c r="B46" s="814" t="s">
        <v>40</v>
      </c>
      <c r="C46" s="1121">
        <v>2</v>
      </c>
      <c r="D46" s="631">
        <v>461.51</v>
      </c>
      <c r="I46" s="1067"/>
    </row>
    <row r="47" spans="1:9" ht="15">
      <c r="A47" s="1120" t="s">
        <v>267</v>
      </c>
      <c r="B47" s="814"/>
      <c r="C47" s="1121">
        <v>3</v>
      </c>
      <c r="D47" s="631">
        <v>1180.76</v>
      </c>
      <c r="I47" s="1067"/>
    </row>
    <row r="48" spans="1:9" ht="15">
      <c r="A48" s="1120" t="s">
        <v>303</v>
      </c>
      <c r="B48" s="814" t="s">
        <v>40</v>
      </c>
      <c r="C48" s="1121">
        <v>1</v>
      </c>
      <c r="D48" s="631">
        <v>411.43</v>
      </c>
      <c r="I48" s="1067"/>
    </row>
    <row r="49" spans="1:9" ht="15.75" thickBot="1">
      <c r="A49" s="1123" t="s">
        <v>174</v>
      </c>
      <c r="B49" s="822" t="s">
        <v>40</v>
      </c>
      <c r="C49" s="506">
        <v>1</v>
      </c>
      <c r="D49" s="396">
        <v>445.45</v>
      </c>
      <c r="I49" s="1067"/>
    </row>
    <row r="50" spans="1:9" ht="15.75" thickBot="1">
      <c r="A50" s="805" t="s">
        <v>701</v>
      </c>
      <c r="B50" s="817"/>
      <c r="C50" s="1122"/>
      <c r="D50" s="1040">
        <v>5534.23</v>
      </c>
      <c r="I50" s="1067"/>
    </row>
    <row r="51" spans="1:9" ht="15">
      <c r="A51" s="1188" t="s">
        <v>424</v>
      </c>
      <c r="B51" s="814"/>
      <c r="C51" s="1121"/>
      <c r="D51" s="631"/>
      <c r="I51" s="1067"/>
    </row>
    <row r="52" spans="1:9" ht="15">
      <c r="A52" s="1120" t="s">
        <v>695</v>
      </c>
      <c r="B52" s="814"/>
      <c r="C52" s="1121">
        <v>2</v>
      </c>
      <c r="D52" s="631">
        <v>1279.77</v>
      </c>
      <c r="I52" s="1067"/>
    </row>
    <row r="53" spans="1:4" ht="15">
      <c r="A53" s="1189" t="s">
        <v>318</v>
      </c>
      <c r="B53" s="747" t="s">
        <v>211</v>
      </c>
      <c r="C53" s="508">
        <v>1</v>
      </c>
      <c r="D53" s="393">
        <v>8523.36</v>
      </c>
    </row>
    <row r="54" spans="1:4" ht="15.75" thickBot="1">
      <c r="A54" s="889" t="s">
        <v>221</v>
      </c>
      <c r="B54" s="816" t="s">
        <v>40</v>
      </c>
      <c r="C54" s="610">
        <v>1</v>
      </c>
      <c r="D54" s="618">
        <v>3558.85</v>
      </c>
    </row>
    <row r="55" spans="1:4" ht="15.75" thickBot="1">
      <c r="A55" s="805" t="s">
        <v>701</v>
      </c>
      <c r="B55" s="817"/>
      <c r="C55" s="1122"/>
      <c r="D55" s="1040">
        <v>13361.98</v>
      </c>
    </row>
    <row r="56" spans="1:4" ht="15">
      <c r="A56" s="1188" t="s">
        <v>425</v>
      </c>
      <c r="B56" s="814"/>
      <c r="C56" s="1121"/>
      <c r="D56" s="631"/>
    </row>
    <row r="57" spans="1:4" ht="15">
      <c r="A57" s="1189" t="s">
        <v>479</v>
      </c>
      <c r="B57" s="747" t="s">
        <v>372</v>
      </c>
      <c r="C57" s="508">
        <v>2</v>
      </c>
      <c r="D57" s="393">
        <v>1417.66</v>
      </c>
    </row>
    <row r="58" spans="1:4" ht="15.75" thickBot="1">
      <c r="A58" s="799" t="s">
        <v>1020</v>
      </c>
      <c r="B58" s="964" t="s">
        <v>40</v>
      </c>
      <c r="C58" s="836">
        <v>1</v>
      </c>
      <c r="D58" s="896">
        <v>3348.29</v>
      </c>
    </row>
    <row r="59" spans="1:4" ht="15.75" thickBot="1">
      <c r="A59" s="806" t="s">
        <v>701</v>
      </c>
      <c r="B59" s="957"/>
      <c r="C59" s="803"/>
      <c r="D59" s="863">
        <v>4765.95</v>
      </c>
    </row>
    <row r="60" spans="1:4" ht="15">
      <c r="A60" s="808" t="s">
        <v>386</v>
      </c>
      <c r="B60" s="382"/>
      <c r="C60" s="441"/>
      <c r="D60" s="441"/>
    </row>
    <row r="61" spans="1:4" ht="15">
      <c r="A61" s="359" t="s">
        <v>268</v>
      </c>
      <c r="B61" s="358" t="s">
        <v>40</v>
      </c>
      <c r="C61" s="421">
        <v>1</v>
      </c>
      <c r="D61" s="421">
        <v>430.63</v>
      </c>
    </row>
    <row r="62" spans="1:4" ht="15">
      <c r="A62" s="359" t="s">
        <v>269</v>
      </c>
      <c r="B62" s="358" t="s">
        <v>40</v>
      </c>
      <c r="C62" s="421">
        <v>1</v>
      </c>
      <c r="D62" s="421">
        <v>188.75</v>
      </c>
    </row>
    <row r="63" spans="1:4" ht="15.75" thickBot="1">
      <c r="A63" s="359" t="s">
        <v>402</v>
      </c>
      <c r="B63" s="358"/>
      <c r="C63" s="421">
        <v>2</v>
      </c>
      <c r="D63" s="421">
        <v>964.96</v>
      </c>
    </row>
    <row r="64" spans="1:4" ht="15.75" thickBot="1">
      <c r="A64" s="806" t="s">
        <v>701</v>
      </c>
      <c r="B64" s="957"/>
      <c r="C64" s="550"/>
      <c r="D64" s="863">
        <v>1584.34</v>
      </c>
    </row>
    <row r="65" spans="1:4" ht="15.75" thickBot="1">
      <c r="A65" s="799"/>
      <c r="B65" s="1166"/>
      <c r="C65" s="836"/>
      <c r="D65" s="896"/>
    </row>
    <row r="66" spans="1:4" ht="15.75" thickBot="1">
      <c r="A66" s="806" t="s">
        <v>458</v>
      </c>
      <c r="B66" s="957"/>
      <c r="C66" s="1013"/>
      <c r="D66" s="841">
        <v>70080.94</v>
      </c>
    </row>
    <row r="67" spans="1:4" ht="15">
      <c r="A67" s="377"/>
      <c r="B67" s="760"/>
      <c r="C67" s="441"/>
      <c r="D67" s="896"/>
    </row>
    <row r="68" spans="1:4" ht="15">
      <c r="A68" s="1151" t="s">
        <v>374</v>
      </c>
      <c r="B68" s="364"/>
      <c r="C68" s="421"/>
      <c r="D68" s="1098">
        <v>18214.26</v>
      </c>
    </row>
    <row r="69" spans="1:4" ht="15.75">
      <c r="A69" s="1157" t="s">
        <v>904</v>
      </c>
      <c r="B69" s="358"/>
      <c r="C69" s="431"/>
      <c r="D69" s="891">
        <v>6229</v>
      </c>
    </row>
    <row r="70" spans="1:4" ht="15">
      <c r="A70" s="465" t="s">
        <v>775</v>
      </c>
      <c r="B70" s="368"/>
      <c r="C70" s="427"/>
      <c r="D70" s="428">
        <v>71736.69</v>
      </c>
    </row>
    <row r="71" spans="1:4" ht="15.75" thickBot="1">
      <c r="A71" s="526"/>
      <c r="B71" s="381"/>
      <c r="C71" s="519"/>
      <c r="D71" s="541"/>
    </row>
    <row r="72" spans="1:4" ht="15.75" thickBot="1">
      <c r="A72" s="806" t="s">
        <v>918</v>
      </c>
      <c r="B72" s="957"/>
      <c r="C72" s="907"/>
      <c r="D72" s="858">
        <v>388425.62</v>
      </c>
    </row>
    <row r="73" spans="1:4" ht="15">
      <c r="A73" s="370"/>
      <c r="B73" s="370"/>
      <c r="C73" s="370"/>
      <c r="D73" s="371"/>
    </row>
    <row r="74" spans="1:4" ht="15">
      <c r="A74" s="370"/>
      <c r="B74" s="370"/>
      <c r="C74" s="370"/>
      <c r="D74" s="371"/>
    </row>
    <row r="75" spans="1:4" ht="14.25">
      <c r="A75" s="764"/>
      <c r="B75" s="358"/>
      <c r="C75" s="359"/>
      <c r="D75" s="1262"/>
    </row>
    <row r="76" spans="1:4" ht="15">
      <c r="A76" s="1251" t="s">
        <v>568</v>
      </c>
      <c r="B76" s="1257"/>
      <c r="C76" s="467"/>
      <c r="D76" s="467">
        <v>0</v>
      </c>
    </row>
    <row r="77" spans="1:4" ht="15">
      <c r="A77" s="1332" t="s">
        <v>569</v>
      </c>
      <c r="B77" s="1332"/>
      <c r="C77" s="628"/>
      <c r="D77" s="608">
        <v>306864.75</v>
      </c>
    </row>
    <row r="78" spans="1:4" ht="15">
      <c r="A78" s="1332" t="s">
        <v>570</v>
      </c>
      <c r="B78" s="1332"/>
      <c r="C78" s="607"/>
      <c r="D78" s="608">
        <v>388425.62</v>
      </c>
    </row>
    <row r="79" spans="1:4" ht="15">
      <c r="A79" s="1333" t="s">
        <v>571</v>
      </c>
      <c r="B79" s="1333"/>
      <c r="C79" s="629"/>
      <c r="D79" s="629">
        <v>81560.87</v>
      </c>
    </row>
    <row r="80" spans="1:4" ht="15">
      <c r="A80" s="1332" t="s">
        <v>179</v>
      </c>
      <c r="B80" s="1332"/>
      <c r="C80" s="1258"/>
      <c r="D80" s="630">
        <v>81560.87</v>
      </c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 t="s">
        <v>180</v>
      </c>
      <c r="B84" s="538"/>
      <c r="C84" s="1259" t="s">
        <v>573</v>
      </c>
      <c r="D84" s="1260"/>
    </row>
    <row r="85" spans="1:4" ht="15">
      <c r="A85" s="538"/>
      <c r="B85" s="538"/>
      <c r="C85" s="1259"/>
      <c r="D85" s="1260"/>
    </row>
    <row r="86" ht="12.75">
      <c r="A86" s="735" t="s">
        <v>357</v>
      </c>
    </row>
    <row r="87" ht="12.75">
      <c r="A87" s="735" t="s">
        <v>906</v>
      </c>
    </row>
    <row r="88" ht="12.75">
      <c r="A88" s="735" t="s">
        <v>358</v>
      </c>
    </row>
  </sheetData>
  <sheetProtection/>
  <mergeCells count="19">
    <mergeCell ref="A22:D22"/>
    <mergeCell ref="C11:D11"/>
    <mergeCell ref="C12:D14"/>
    <mergeCell ref="C15:D15"/>
    <mergeCell ref="C16:D16"/>
    <mergeCell ref="A23:D23"/>
    <mergeCell ref="A9:B9"/>
    <mergeCell ref="A11:B12"/>
    <mergeCell ref="A4:B4"/>
    <mergeCell ref="A5:B5"/>
    <mergeCell ref="A6:B6"/>
    <mergeCell ref="A7:B7"/>
    <mergeCell ref="C17:D17"/>
    <mergeCell ref="C18:D18"/>
    <mergeCell ref="C19:D19"/>
    <mergeCell ref="A77:B77"/>
    <mergeCell ref="A78:B78"/>
    <mergeCell ref="A79:B79"/>
    <mergeCell ref="A80:B80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3">
      <selection activeCell="A14" sqref="A14:IV14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4.281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851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87515.73+205.82</f>
        <v>87721.55</v>
      </c>
      <c r="E11" s="25">
        <v>19332.18</v>
      </c>
    </row>
    <row r="12" spans="2:5" ht="16.5" thickBot="1">
      <c r="B12" s="1398" t="s">
        <v>646</v>
      </c>
      <c r="C12" s="1399"/>
      <c r="D12" s="89">
        <f>578477.88+1285.12</f>
        <v>579763</v>
      </c>
      <c r="E12" s="5">
        <v>32164.28</v>
      </c>
    </row>
    <row r="13" spans="2:5" ht="16.5" thickBot="1">
      <c r="B13" s="1398" t="s">
        <v>647</v>
      </c>
      <c r="C13" s="1399"/>
      <c r="D13" s="5">
        <f>575047.38+1490.94</f>
        <v>576538.32</v>
      </c>
      <c r="E13" s="5">
        <v>46432.31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98" t="s">
        <v>648</v>
      </c>
      <c r="C15" s="1399"/>
      <c r="D15" s="5">
        <f>D11+D12-D13</f>
        <v>90946.2300000001</v>
      </c>
      <c r="E15" s="5">
        <f>E11+E12-E13</f>
        <v>5064.1500000000015</v>
      </c>
    </row>
    <row r="16" spans="2:5" ht="16.5" thickBot="1">
      <c r="B16" s="1398" t="s">
        <v>806</v>
      </c>
      <c r="C16" s="1399"/>
      <c r="D16" s="75">
        <f>E22+E44</f>
        <v>565831.7200000001</v>
      </c>
      <c r="E16" s="73"/>
    </row>
    <row r="17" spans="3:4" ht="12.75">
      <c r="C17" s="83"/>
      <c r="D17" s="81"/>
    </row>
    <row r="18" spans="2:5" ht="18.75">
      <c r="B18" s="1397" t="s">
        <v>650</v>
      </c>
      <c r="C18" s="1397"/>
      <c r="D18" s="1397"/>
      <c r="E18" s="1397"/>
    </row>
    <row r="19" spans="2:5" ht="18.75">
      <c r="B19" s="1397" t="s">
        <v>1009</v>
      </c>
      <c r="C19" s="1397"/>
      <c r="D19" s="1397"/>
      <c r="E19" s="1397"/>
    </row>
    <row r="20" ht="13.5" thickBot="1">
      <c r="D20" s="11"/>
    </row>
    <row r="21" spans="1:5" ht="32.25" thickBot="1">
      <c r="A21" s="9"/>
      <c r="B21" s="34" t="s">
        <v>651</v>
      </c>
      <c r="C21" s="60" t="s">
        <v>667</v>
      </c>
      <c r="D21" s="59" t="s">
        <v>673</v>
      </c>
      <c r="E21" s="63" t="s">
        <v>793</v>
      </c>
    </row>
    <row r="22" spans="1:5" ht="20.25" thickBot="1">
      <c r="A22" s="9"/>
      <c r="B22" s="35" t="s">
        <v>761</v>
      </c>
      <c r="C22" s="61"/>
      <c r="D22" s="10"/>
      <c r="E22" s="62">
        <f>E23+E29+E31+E32+E42</f>
        <v>420512.26000000007</v>
      </c>
    </row>
    <row r="23" spans="1:5" ht="32.25" thickBot="1">
      <c r="A23" s="11"/>
      <c r="B23" s="67" t="s">
        <v>662</v>
      </c>
      <c r="C23" s="64" t="s">
        <v>652</v>
      </c>
      <c r="D23" s="43"/>
      <c r="E23" s="230">
        <v>208217.1</v>
      </c>
    </row>
    <row r="24" spans="2:5" ht="32.25" hidden="1" thickBot="1">
      <c r="B24" s="67" t="s">
        <v>686</v>
      </c>
      <c r="C24" s="65" t="s">
        <v>661</v>
      </c>
      <c r="D24" s="44"/>
      <c r="E24" s="174"/>
    </row>
    <row r="25" spans="2:5" ht="16.5" hidden="1" thickBot="1">
      <c r="B25" s="67" t="s">
        <v>765</v>
      </c>
      <c r="C25" s="65" t="s">
        <v>661</v>
      </c>
      <c r="D25" s="44"/>
      <c r="E25" s="174"/>
    </row>
    <row r="26" spans="2:5" ht="39.75" hidden="1" thickBot="1">
      <c r="B26" s="67" t="s">
        <v>655</v>
      </c>
      <c r="C26" s="64" t="s">
        <v>653</v>
      </c>
      <c r="D26" s="45"/>
      <c r="E26" s="237"/>
    </row>
    <row r="27" spans="2:5" ht="48" hidden="1" thickBot="1">
      <c r="B27" s="67" t="s">
        <v>796</v>
      </c>
      <c r="C27" s="65" t="s">
        <v>661</v>
      </c>
      <c r="D27" s="44"/>
      <c r="E27" s="174"/>
    </row>
    <row r="28" spans="2:5" ht="48" hidden="1" thickBot="1">
      <c r="B28" s="67" t="s">
        <v>797</v>
      </c>
      <c r="C28" s="65" t="s">
        <v>661</v>
      </c>
      <c r="D28" s="44"/>
      <c r="E28" s="174"/>
    </row>
    <row r="29" spans="2:5" ht="16.5" thickBot="1">
      <c r="B29" s="67" t="s">
        <v>654</v>
      </c>
      <c r="C29" s="48" t="s">
        <v>656</v>
      </c>
      <c r="D29" s="43" t="s">
        <v>801</v>
      </c>
      <c r="E29" s="230">
        <v>95405.94</v>
      </c>
    </row>
    <row r="30" spans="2:5" ht="32.25" hidden="1" thickBot="1">
      <c r="B30" s="67" t="s">
        <v>798</v>
      </c>
      <c r="C30" s="65" t="s">
        <v>661</v>
      </c>
      <c r="D30" s="47" t="s">
        <v>822</v>
      </c>
      <c r="E30" s="174"/>
    </row>
    <row r="31" spans="2:5" ht="27" thickBot="1">
      <c r="B31" s="67" t="s">
        <v>658</v>
      </c>
      <c r="C31" s="64" t="s">
        <v>657</v>
      </c>
      <c r="D31" s="43"/>
      <c r="E31" s="230">
        <v>83848.83</v>
      </c>
    </row>
    <row r="32" spans="2:5" ht="16.5" thickBot="1">
      <c r="B32" s="67" t="s">
        <v>1</v>
      </c>
      <c r="C32" s="64" t="s">
        <v>661</v>
      </c>
      <c r="D32" s="43"/>
      <c r="E32" s="230">
        <v>13717.65</v>
      </c>
    </row>
    <row r="33" spans="2:5" ht="16.5" hidden="1" thickBot="1">
      <c r="B33" s="68" t="s">
        <v>758</v>
      </c>
      <c r="C33" s="64" t="s">
        <v>665</v>
      </c>
      <c r="D33" s="43"/>
      <c r="E33" s="238"/>
    </row>
    <row r="34" spans="2:5" ht="32.25" hidden="1" thickBot="1">
      <c r="B34" s="67" t="s">
        <v>664</v>
      </c>
      <c r="C34" s="65" t="s">
        <v>661</v>
      </c>
      <c r="D34" s="44"/>
      <c r="E34" s="174"/>
    </row>
    <row r="35" spans="2:5" ht="32.25" hidden="1" thickBot="1">
      <c r="B35" s="67" t="s">
        <v>671</v>
      </c>
      <c r="C35" s="65" t="s">
        <v>661</v>
      </c>
      <c r="D35" s="72"/>
      <c r="E35" s="239"/>
    </row>
    <row r="36" spans="2:5" ht="78.75" hidden="1" thickBot="1">
      <c r="B36" s="36" t="s">
        <v>790</v>
      </c>
      <c r="C36" s="65" t="s">
        <v>661</v>
      </c>
      <c r="D36" s="44"/>
      <c r="E36" s="174"/>
    </row>
    <row r="37" spans="2:5" ht="48" hidden="1" thickBot="1">
      <c r="B37" s="67" t="s">
        <v>767</v>
      </c>
      <c r="C37" s="64" t="s">
        <v>766</v>
      </c>
      <c r="D37" s="43"/>
      <c r="E37" s="238"/>
    </row>
    <row r="38" spans="2:5" ht="32.25" hidden="1" thickBot="1">
      <c r="B38" s="67" t="s">
        <v>668</v>
      </c>
      <c r="C38" s="65" t="s">
        <v>661</v>
      </c>
      <c r="D38" s="44"/>
      <c r="E38" s="174"/>
    </row>
    <row r="39" spans="2:5" ht="16.5" hidden="1" thickBot="1">
      <c r="B39" s="67" t="s">
        <v>799</v>
      </c>
      <c r="C39" s="65" t="s">
        <v>661</v>
      </c>
      <c r="D39" s="44"/>
      <c r="E39" s="174"/>
    </row>
    <row r="40" spans="2:5" ht="39.75" hidden="1" thickBot="1">
      <c r="B40" s="67" t="s">
        <v>670</v>
      </c>
      <c r="C40" s="64" t="s">
        <v>684</v>
      </c>
      <c r="D40" s="46"/>
      <c r="E40" s="240"/>
    </row>
    <row r="41" spans="2:5" ht="48" hidden="1" thickBot="1">
      <c r="B41" s="68" t="s">
        <v>800</v>
      </c>
      <c r="C41" s="65" t="s">
        <v>661</v>
      </c>
      <c r="D41" s="44"/>
      <c r="E41" s="174"/>
    </row>
    <row r="42" spans="2:5" ht="16.5" thickBot="1">
      <c r="B42" s="69" t="s">
        <v>685</v>
      </c>
      <c r="C42" s="212" t="s">
        <v>817</v>
      </c>
      <c r="D42" s="43" t="s">
        <v>801</v>
      </c>
      <c r="E42" s="231">
        <v>19322.74</v>
      </c>
    </row>
    <row r="43" spans="2:5" ht="32.25" hidden="1" thickBot="1">
      <c r="B43" s="70" t="s">
        <v>802</v>
      </c>
      <c r="C43" s="47"/>
      <c r="D43" s="44"/>
      <c r="E43" s="174"/>
    </row>
    <row r="44" spans="2:5" ht="20.25" thickBot="1">
      <c r="B44" s="14" t="s">
        <v>760</v>
      </c>
      <c r="C44" s="17"/>
      <c r="E44" s="263">
        <f>E57</f>
        <v>145319.46000000002</v>
      </c>
    </row>
    <row r="45" spans="2:5" ht="15.75" thickBot="1">
      <c r="B45" s="150" t="s">
        <v>672</v>
      </c>
      <c r="C45" s="15" t="s">
        <v>920</v>
      </c>
      <c r="D45" s="49" t="s">
        <v>673</v>
      </c>
      <c r="E45" s="176" t="s">
        <v>793</v>
      </c>
    </row>
    <row r="46" spans="2:5" ht="15.75">
      <c r="B46" s="217" t="s">
        <v>816</v>
      </c>
      <c r="C46" s="255" t="s">
        <v>661</v>
      </c>
      <c r="D46" s="149"/>
      <c r="E46" s="266">
        <v>10488.35</v>
      </c>
    </row>
    <row r="47" spans="2:5" ht="15.75">
      <c r="B47" s="188" t="s">
        <v>997</v>
      </c>
      <c r="C47" s="255" t="s">
        <v>661</v>
      </c>
      <c r="D47" s="154"/>
      <c r="E47" s="266">
        <f>2901.03+6665.7</f>
        <v>9566.73</v>
      </c>
    </row>
    <row r="48" spans="2:5" ht="14.25">
      <c r="B48" s="188" t="s">
        <v>1000</v>
      </c>
      <c r="C48" s="255" t="s">
        <v>661</v>
      </c>
      <c r="D48" s="153"/>
      <c r="E48" s="177">
        <f>4556.6</f>
        <v>4556.6</v>
      </c>
    </row>
    <row r="49" spans="2:5" ht="14.25">
      <c r="B49" s="151" t="s">
        <v>676</v>
      </c>
      <c r="C49" s="116"/>
      <c r="D49" s="153"/>
      <c r="E49" s="177"/>
    </row>
    <row r="50" spans="2:5" ht="14.25">
      <c r="B50" s="132" t="s">
        <v>883</v>
      </c>
      <c r="C50" s="74" t="s">
        <v>661</v>
      </c>
      <c r="D50" s="153"/>
      <c r="E50" s="179">
        <f>29605.27+561.5</f>
        <v>30166.77</v>
      </c>
    </row>
    <row r="51" spans="2:5" ht="14.25">
      <c r="B51" s="157" t="s">
        <v>880</v>
      </c>
      <c r="C51" s="74" t="s">
        <v>661</v>
      </c>
      <c r="D51" s="152"/>
      <c r="E51" s="177">
        <v>4844.2</v>
      </c>
    </row>
    <row r="52" spans="2:5" ht="14.25">
      <c r="B52" s="157" t="s">
        <v>925</v>
      </c>
      <c r="C52" s="74" t="s">
        <v>661</v>
      </c>
      <c r="D52" s="152"/>
      <c r="E52" s="177">
        <v>67560.08</v>
      </c>
    </row>
    <row r="53" spans="2:5" ht="15">
      <c r="B53" s="151" t="s">
        <v>1025</v>
      </c>
      <c r="C53" s="118"/>
      <c r="D53" s="152"/>
      <c r="E53" s="220"/>
    </row>
    <row r="54" spans="2:5" ht="14.25">
      <c r="B54" s="159" t="s">
        <v>998</v>
      </c>
      <c r="C54" s="74" t="s">
        <v>661</v>
      </c>
      <c r="D54" s="152"/>
      <c r="E54" s="177">
        <v>16852.08</v>
      </c>
    </row>
    <row r="55" spans="2:5" ht="15">
      <c r="B55" s="159" t="s">
        <v>929</v>
      </c>
      <c r="C55" s="74" t="s">
        <v>661</v>
      </c>
      <c r="D55" s="13"/>
      <c r="E55" s="268">
        <v>1284.65</v>
      </c>
    </row>
    <row r="56" spans="2:5" ht="12.75" hidden="1">
      <c r="B56" s="13"/>
      <c r="C56" s="13"/>
      <c r="D56" s="13"/>
      <c r="E56" s="85"/>
    </row>
    <row r="57" spans="2:5" ht="12.75" hidden="1">
      <c r="B57" s="117" t="s">
        <v>1014</v>
      </c>
      <c r="C57" s="13"/>
      <c r="D57" s="13"/>
      <c r="E57" s="256">
        <f>E46+E50+E51+E54+E55+E48+E52+E47</f>
        <v>145319.46000000002</v>
      </c>
    </row>
    <row r="58" spans="2:5" ht="12.75">
      <c r="B58" s="103"/>
      <c r="C58" s="11"/>
      <c r="D58" s="11"/>
      <c r="E58" s="207"/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1"/>
      <c r="C62" s="11"/>
      <c r="D62" s="11"/>
      <c r="E62" s="207"/>
    </row>
    <row r="63" spans="2:5" ht="15.75">
      <c r="B63" s="6" t="s">
        <v>830</v>
      </c>
      <c r="C63" s="6" t="s">
        <v>889</v>
      </c>
      <c r="E63" s="254"/>
    </row>
  </sheetData>
  <sheetProtection/>
  <mergeCells count="13">
    <mergeCell ref="B7:C7"/>
    <mergeCell ref="B9:C10"/>
    <mergeCell ref="B2:C2"/>
    <mergeCell ref="B3:C3"/>
    <mergeCell ref="B4:C4"/>
    <mergeCell ref="B5:C5"/>
    <mergeCell ref="B19:E19"/>
    <mergeCell ref="B12:C12"/>
    <mergeCell ref="B13:C13"/>
    <mergeCell ref="B14:C14"/>
    <mergeCell ref="B15:C15"/>
    <mergeCell ref="B16:C16"/>
    <mergeCell ref="B18:E1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99CC"/>
  </sheetPr>
  <dimension ref="A1:E6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7" width="0" style="0" hidden="1" customWidth="1"/>
  </cols>
  <sheetData>
    <row r="1" spans="1:4" ht="15.75">
      <c r="A1" s="187"/>
      <c r="B1"/>
      <c r="C1" s="187"/>
      <c r="D1" s="11"/>
    </row>
    <row r="2" ht="12.75">
      <c r="D2" s="1" t="s">
        <v>792</v>
      </c>
    </row>
    <row r="3" spans="1:4" ht="22.5">
      <c r="A3" s="1331" t="s">
        <v>687</v>
      </c>
      <c r="B3" s="1331"/>
      <c r="C3" s="140"/>
      <c r="D3" s="140"/>
    </row>
    <row r="4" spans="1:4" ht="15.75">
      <c r="A4" s="1363" t="s">
        <v>497</v>
      </c>
      <c r="B4" s="1363"/>
      <c r="C4" s="91"/>
      <c r="D4" s="91"/>
    </row>
    <row r="5" spans="1:4" ht="15.75">
      <c r="A5" s="1363" t="s">
        <v>641</v>
      </c>
      <c r="B5" s="1363"/>
      <c r="C5" s="91"/>
      <c r="D5" s="91"/>
    </row>
    <row r="6" spans="1:4" ht="15.75">
      <c r="A6" s="1363" t="s">
        <v>804</v>
      </c>
      <c r="B6" s="1363"/>
      <c r="C6" s="91"/>
      <c r="D6" s="91"/>
    </row>
    <row r="7" spans="1:3" ht="18.75">
      <c r="A7" s="26"/>
      <c r="B7" s="26"/>
      <c r="C7"/>
    </row>
    <row r="8" spans="1:4" ht="15">
      <c r="A8" s="1343" t="s">
        <v>70</v>
      </c>
      <c r="B8" s="1343"/>
      <c r="C8" s="139"/>
      <c r="D8" s="139"/>
    </row>
    <row r="9" spans="1:4" ht="15">
      <c r="A9" s="324"/>
      <c r="B9" s="324"/>
      <c r="C9" s="139"/>
      <c r="D9" s="139"/>
    </row>
    <row r="10" spans="1:4" ht="12.75" customHeight="1">
      <c r="A10" s="1366" t="s">
        <v>642</v>
      </c>
      <c r="B10" s="1367"/>
      <c r="C10" s="1366" t="s">
        <v>488</v>
      </c>
      <c r="D10" s="1367"/>
    </row>
    <row r="11" spans="1:4" ht="12.75">
      <c r="A11" s="1368"/>
      <c r="B11" s="1369"/>
      <c r="C11" s="1368"/>
      <c r="D11" s="1369"/>
    </row>
    <row r="12" spans="1:4" ht="15">
      <c r="A12" s="372" t="s">
        <v>347</v>
      </c>
      <c r="B12" s="472"/>
      <c r="C12" s="1370">
        <v>15192.23</v>
      </c>
      <c r="D12" s="1371"/>
    </row>
    <row r="13" spans="1:4" ht="15">
      <c r="A13" s="471" t="s">
        <v>486</v>
      </c>
      <c r="B13" s="473"/>
      <c r="C13" s="1336">
        <v>63912.6</v>
      </c>
      <c r="D13" s="1337"/>
    </row>
    <row r="14" spans="1:4" ht="15">
      <c r="A14" s="470" t="s">
        <v>647</v>
      </c>
      <c r="B14" s="474"/>
      <c r="C14" s="1338">
        <v>52998.24</v>
      </c>
      <c r="D14" s="1339"/>
    </row>
    <row r="15" spans="1:4" ht="15">
      <c r="A15" s="475" t="s">
        <v>348</v>
      </c>
      <c r="B15" s="476"/>
      <c r="C15" s="1318">
        <f>C12+C13-C14</f>
        <v>26106.590000000004</v>
      </c>
      <c r="D15" s="1319"/>
    </row>
    <row r="16" spans="1:4" ht="14.25">
      <c r="A16" s="470" t="s">
        <v>498</v>
      </c>
      <c r="B16" s="474"/>
      <c r="C16" s="1334">
        <v>65081.45</v>
      </c>
      <c r="D16" s="1335"/>
    </row>
    <row r="17" spans="1:4" ht="12.75">
      <c r="A17" s="82"/>
      <c r="B17" s="83"/>
      <c r="C17" s="83"/>
      <c r="D17" s="83"/>
    </row>
    <row r="18" spans="2:4" ht="12.75">
      <c r="B18" s="83"/>
      <c r="C18" s="81"/>
      <c r="D18" s="314"/>
    </row>
    <row r="19" spans="1:4" ht="15.75">
      <c r="A19" s="1340" t="s">
        <v>650</v>
      </c>
      <c r="B19" s="1340"/>
      <c r="C19" s="1340"/>
      <c r="D19" s="1340"/>
    </row>
    <row r="20" spans="1:4" ht="15.75">
      <c r="A20" s="1340" t="s">
        <v>346</v>
      </c>
      <c r="B20" s="1340"/>
      <c r="C20" s="1340"/>
      <c r="D20" s="1340"/>
    </row>
    <row r="21" spans="1:4" ht="12.75">
      <c r="A21" s="82"/>
      <c r="B21" s="82"/>
      <c r="C21" s="103"/>
      <c r="D21" s="82"/>
    </row>
    <row r="22" spans="1:4" ht="26.25" thickBot="1">
      <c r="A22" s="501" t="s">
        <v>892</v>
      </c>
      <c r="B22" s="502" t="s">
        <v>667</v>
      </c>
      <c r="C22" s="499" t="s">
        <v>673</v>
      </c>
      <c r="D22" s="503" t="s">
        <v>793</v>
      </c>
    </row>
    <row r="23" spans="1:4" ht="15.75">
      <c r="A23" s="1126" t="s">
        <v>913</v>
      </c>
      <c r="B23" s="1199"/>
      <c r="C23" s="1200"/>
      <c r="D23" s="1095"/>
    </row>
    <row r="24" spans="1:4" ht="15.75">
      <c r="A24" s="1128" t="s">
        <v>13</v>
      </c>
      <c r="B24" s="1091"/>
      <c r="C24" s="1092"/>
      <c r="D24" s="1093">
        <v>28410.57</v>
      </c>
    </row>
    <row r="25" spans="1:4" ht="15.75">
      <c r="A25" s="1198" t="s">
        <v>270</v>
      </c>
      <c r="B25" s="1197"/>
      <c r="C25" s="671"/>
      <c r="D25" s="1093">
        <v>1912.55</v>
      </c>
    </row>
    <row r="26" spans="1:4" ht="15.75" thickBot="1">
      <c r="A26" s="413" t="s">
        <v>654</v>
      </c>
      <c r="B26" s="594" t="s">
        <v>656</v>
      </c>
      <c r="C26" s="594" t="s">
        <v>801</v>
      </c>
      <c r="D26" s="595">
        <v>10277.22</v>
      </c>
    </row>
    <row r="27" spans="1:4" ht="15.75" thickBot="1">
      <c r="A27" s="805" t="s">
        <v>701</v>
      </c>
      <c r="B27" s="980"/>
      <c r="C27" s="981"/>
      <c r="D27" s="839">
        <v>40600.34</v>
      </c>
    </row>
    <row r="28" spans="1:4" ht="15">
      <c r="A28" s="1191" t="s">
        <v>914</v>
      </c>
      <c r="B28" s="1192"/>
      <c r="C28" s="1193"/>
      <c r="D28" s="1194"/>
    </row>
    <row r="29" spans="1:5" ht="26.25" customHeight="1">
      <c r="A29" s="428" t="s">
        <v>436</v>
      </c>
      <c r="B29" s="838" t="s">
        <v>701</v>
      </c>
      <c r="C29" s="1195" t="s">
        <v>920</v>
      </c>
      <c r="D29" s="1195" t="s">
        <v>673</v>
      </c>
      <c r="E29" s="516" t="s">
        <v>793</v>
      </c>
    </row>
    <row r="30" spans="1:4" ht="15">
      <c r="A30" s="441" t="s">
        <v>11</v>
      </c>
      <c r="B30" s="514"/>
      <c r="C30" s="377"/>
      <c r="D30" s="520">
        <v>2614.69</v>
      </c>
    </row>
    <row r="31" spans="1:4" ht="15">
      <c r="A31" s="421" t="s">
        <v>271</v>
      </c>
      <c r="B31" s="1195"/>
      <c r="C31" s="359"/>
      <c r="D31" s="360">
        <v>2353</v>
      </c>
    </row>
    <row r="32" spans="1:4" ht="15.75" thickBot="1">
      <c r="A32" s="439" t="s">
        <v>1013</v>
      </c>
      <c r="B32" s="1202"/>
      <c r="C32" s="807">
        <v>1</v>
      </c>
      <c r="D32" s="1203">
        <v>2189.02</v>
      </c>
    </row>
    <row r="33" spans="1:4" ht="15.75" thickBot="1">
      <c r="A33" s="1201" t="s">
        <v>701</v>
      </c>
      <c r="B33" s="1212"/>
      <c r="C33" s="1087"/>
      <c r="D33" s="1213">
        <v>7156.71</v>
      </c>
    </row>
    <row r="34" spans="1:4" ht="15">
      <c r="A34" s="1211" t="s">
        <v>272</v>
      </c>
      <c r="B34" s="1195"/>
      <c r="C34" s="377"/>
      <c r="D34" s="520"/>
    </row>
    <row r="35" spans="1:4" ht="15.75" thickBot="1">
      <c r="A35" s="1206" t="s">
        <v>479</v>
      </c>
      <c r="B35" s="1207" t="s">
        <v>52</v>
      </c>
      <c r="C35" s="807">
        <v>2</v>
      </c>
      <c r="D35" s="1203">
        <v>301.8</v>
      </c>
    </row>
    <row r="36" spans="1:4" ht="15.75" thickBot="1">
      <c r="A36" s="1201" t="s">
        <v>701</v>
      </c>
      <c r="B36" s="1204"/>
      <c r="C36" s="1013"/>
      <c r="D36" s="1213">
        <v>301.8</v>
      </c>
    </row>
    <row r="37" spans="1:4" ht="15">
      <c r="A37" s="1211" t="s">
        <v>777</v>
      </c>
      <c r="B37" s="514"/>
      <c r="C37" s="377"/>
      <c r="D37" s="520"/>
    </row>
    <row r="38" spans="1:4" ht="15.75" thickBot="1">
      <c r="A38" s="1208" t="s">
        <v>402</v>
      </c>
      <c r="B38" s="1202"/>
      <c r="C38" s="807">
        <v>1</v>
      </c>
      <c r="D38" s="1203">
        <v>311.39</v>
      </c>
    </row>
    <row r="39" spans="1:4" ht="15.75" thickBot="1">
      <c r="A39" s="1201" t="s">
        <v>701</v>
      </c>
      <c r="B39" s="1204"/>
      <c r="C39" s="1013"/>
      <c r="D39" s="1213">
        <v>311.39</v>
      </c>
    </row>
    <row r="40" spans="1:4" ht="15.75" thickBot="1">
      <c r="A40" s="1205"/>
      <c r="B40" s="923"/>
      <c r="C40" s="799"/>
      <c r="D40" s="1210"/>
    </row>
    <row r="41" spans="1:4" ht="15.75" thickBot="1">
      <c r="A41" s="1201" t="s">
        <v>375</v>
      </c>
      <c r="B41" s="1204"/>
      <c r="C41" s="1013"/>
      <c r="D41" s="1213">
        <v>7769.9</v>
      </c>
    </row>
    <row r="42" spans="1:4" ht="15.75" thickBot="1">
      <c r="A42" s="1209"/>
      <c r="B42" s="1196"/>
      <c r="C42" s="515"/>
      <c r="D42" s="444"/>
    </row>
    <row r="43" spans="1:4" ht="15">
      <c r="A43" s="383"/>
      <c r="B43" s="725"/>
      <c r="C43" s="441"/>
      <c r="D43" s="598"/>
    </row>
    <row r="44" spans="1:4" ht="15">
      <c r="A44" s="943" t="s">
        <v>743</v>
      </c>
      <c r="B44" s="725"/>
      <c r="C44" s="441"/>
      <c r="D44" s="1051">
        <v>3805.59</v>
      </c>
    </row>
    <row r="45" spans="1:4" ht="15">
      <c r="A45" s="465" t="s">
        <v>904</v>
      </c>
      <c r="B45" s="362"/>
      <c r="C45" s="421"/>
      <c r="D45" s="428">
        <v>886</v>
      </c>
    </row>
    <row r="46" spans="1:4" ht="15">
      <c r="A46" s="220" t="s">
        <v>735</v>
      </c>
      <c r="B46" s="358"/>
      <c r="C46" s="421"/>
      <c r="D46" s="1089">
        <v>12019.62</v>
      </c>
    </row>
    <row r="47" spans="1:4" ht="15.75" thickBot="1">
      <c r="A47" s="807"/>
      <c r="B47" s="1019"/>
      <c r="C47" s="439"/>
      <c r="D47" s="424"/>
    </row>
    <row r="48" spans="1:4" ht="15.75" thickBot="1">
      <c r="A48" s="806" t="s">
        <v>36</v>
      </c>
      <c r="B48" s="957"/>
      <c r="C48" s="898"/>
      <c r="D48" s="892">
        <v>65081.45</v>
      </c>
    </row>
    <row r="49" spans="1:4" ht="15">
      <c r="A49" s="370"/>
      <c r="B49" s="370"/>
      <c r="C49" s="370"/>
      <c r="D49" s="371"/>
    </row>
    <row r="50" spans="1:4" ht="15">
      <c r="A50" s="370"/>
      <c r="B50" s="370"/>
      <c r="C50" s="370"/>
      <c r="D50" s="371"/>
    </row>
    <row r="51" spans="1:4" ht="14.25">
      <c r="A51" s="764"/>
      <c r="B51" s="358"/>
      <c r="C51" s="359"/>
      <c r="D51" s="1262"/>
    </row>
    <row r="52" spans="1:4" ht="15">
      <c r="A52" s="1251" t="s">
        <v>568</v>
      </c>
      <c r="B52" s="1257"/>
      <c r="C52" s="467"/>
      <c r="D52" s="467">
        <v>0</v>
      </c>
    </row>
    <row r="53" spans="1:4" ht="15">
      <c r="A53" s="1332" t="s">
        <v>569</v>
      </c>
      <c r="B53" s="1332"/>
      <c r="C53" s="628"/>
      <c r="D53" s="608">
        <v>52998.24</v>
      </c>
    </row>
    <row r="54" spans="1:4" ht="15">
      <c r="A54" s="1332" t="s">
        <v>570</v>
      </c>
      <c r="B54" s="1332"/>
      <c r="C54" s="607"/>
      <c r="D54" s="608">
        <v>65081.45</v>
      </c>
    </row>
    <row r="55" spans="1:4" ht="15">
      <c r="A55" s="1333" t="s">
        <v>571</v>
      </c>
      <c r="B55" s="1333"/>
      <c r="C55" s="629"/>
      <c r="D55" s="629">
        <v>12083.21</v>
      </c>
    </row>
    <row r="56" spans="1:4" ht="15">
      <c r="A56" s="1332" t="s">
        <v>179</v>
      </c>
      <c r="B56" s="1332"/>
      <c r="C56" s="1258"/>
      <c r="D56" s="630">
        <v>12083.21</v>
      </c>
    </row>
    <row r="57" spans="1:4" ht="15">
      <c r="A57" s="538"/>
      <c r="B57" s="538"/>
      <c r="C57" s="1259"/>
      <c r="D57" s="1260"/>
    </row>
    <row r="58" spans="1:4" ht="15">
      <c r="A58" s="538"/>
      <c r="B58" s="538"/>
      <c r="C58" s="1259"/>
      <c r="D58" s="1260"/>
    </row>
    <row r="59" spans="1:4" ht="15">
      <c r="A59" s="538"/>
      <c r="B59" s="538"/>
      <c r="C59" s="1259"/>
      <c r="D59" s="1260"/>
    </row>
    <row r="60" spans="1:4" ht="15">
      <c r="A60" s="538" t="s">
        <v>180</v>
      </c>
      <c r="B60" s="538"/>
      <c r="C60" s="1259" t="s">
        <v>573</v>
      </c>
      <c r="D60" s="1260"/>
    </row>
    <row r="61" spans="1:4" ht="15">
      <c r="A61" s="538"/>
      <c r="B61" s="538"/>
      <c r="C61" s="1259"/>
      <c r="D61" s="1260"/>
    </row>
    <row r="62" ht="12.75">
      <c r="A62" s="735" t="s">
        <v>357</v>
      </c>
    </row>
    <row r="63" ht="12.75">
      <c r="A63" s="735" t="s">
        <v>906</v>
      </c>
    </row>
    <row r="64" ht="12.75">
      <c r="A64" s="735" t="s">
        <v>358</v>
      </c>
    </row>
  </sheetData>
  <sheetProtection/>
  <mergeCells count="18">
    <mergeCell ref="A19:D19"/>
    <mergeCell ref="A20:D20"/>
    <mergeCell ref="C13:D13"/>
    <mergeCell ref="C14:D14"/>
    <mergeCell ref="C15:D15"/>
    <mergeCell ref="C16:D16"/>
    <mergeCell ref="A3:B3"/>
    <mergeCell ref="A4:B4"/>
    <mergeCell ref="A5:B5"/>
    <mergeCell ref="A6:B6"/>
    <mergeCell ref="A8:B8"/>
    <mergeCell ref="A10:B11"/>
    <mergeCell ref="C10:D11"/>
    <mergeCell ref="C12:D12"/>
    <mergeCell ref="A53:B53"/>
    <mergeCell ref="A54:B54"/>
    <mergeCell ref="A55:B55"/>
    <mergeCell ref="A56:B56"/>
  </mergeCells>
  <printOptions/>
  <pageMargins left="0.1968503937007874" right="0" top="0.3937007874015748" bottom="0.35433070866141736" header="0.31496062992125984" footer="0.31496062992125984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99CC"/>
  </sheetPr>
  <dimension ref="A3:D88"/>
  <sheetViews>
    <sheetView zoomScalePageLayoutView="0" workbookViewId="0" topLeftCell="A8">
      <selection activeCell="B17" sqref="B17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</cols>
  <sheetData>
    <row r="3" ht="12.75">
      <c r="D3" s="1" t="s">
        <v>792</v>
      </c>
    </row>
    <row r="4" spans="1:4" ht="22.5">
      <c r="A4" s="1331" t="s">
        <v>687</v>
      </c>
      <c r="B4" s="1331"/>
      <c r="C4" s="140"/>
      <c r="D4" s="140"/>
    </row>
    <row r="5" spans="1:4" ht="15.75">
      <c r="A5" s="1363" t="s">
        <v>497</v>
      </c>
      <c r="B5" s="1363"/>
      <c r="C5" s="91"/>
      <c r="D5" s="91"/>
    </row>
    <row r="6" spans="1:4" ht="15.75">
      <c r="A6" s="1363" t="s">
        <v>641</v>
      </c>
      <c r="B6" s="1363"/>
      <c r="C6" s="91"/>
      <c r="D6" s="91"/>
    </row>
    <row r="7" spans="1:4" ht="15.75">
      <c r="A7" s="1363" t="s">
        <v>804</v>
      </c>
      <c r="B7" s="1363"/>
      <c r="C7" s="91"/>
      <c r="D7" s="91"/>
    </row>
    <row r="8" spans="1:3" ht="18.75">
      <c r="A8" s="26"/>
      <c r="B8" s="26"/>
      <c r="C8"/>
    </row>
    <row r="9" spans="1:4" ht="15">
      <c r="A9" s="1343" t="s">
        <v>1021</v>
      </c>
      <c r="B9" s="1343"/>
      <c r="C9" s="139"/>
      <c r="D9" s="139"/>
    </row>
    <row r="10" spans="1:4" ht="15">
      <c r="A10" s="324"/>
      <c r="B10" s="324"/>
      <c r="C10" s="139"/>
      <c r="D10" s="139"/>
    </row>
    <row r="11" spans="1:4" ht="12.75" customHeight="1">
      <c r="A11" s="1366" t="s">
        <v>642</v>
      </c>
      <c r="B11" s="1367"/>
      <c r="C11" s="1366" t="s">
        <v>895</v>
      </c>
      <c r="D11" s="1367"/>
    </row>
    <row r="12" spans="1:4" ht="12.75">
      <c r="A12" s="1368"/>
      <c r="B12" s="1369"/>
      <c r="C12" s="1368"/>
      <c r="D12" s="1369"/>
    </row>
    <row r="13" spans="1:4" ht="15">
      <c r="A13" s="372" t="s">
        <v>347</v>
      </c>
      <c r="B13" s="472"/>
      <c r="C13" s="1370">
        <v>148929.59</v>
      </c>
      <c r="D13" s="1371"/>
    </row>
    <row r="14" spans="1:4" ht="15">
      <c r="A14" s="471" t="s">
        <v>486</v>
      </c>
      <c r="B14" s="473"/>
      <c r="C14" s="1336">
        <v>578178.63</v>
      </c>
      <c r="D14" s="1337"/>
    </row>
    <row r="15" spans="1:4" ht="15">
      <c r="A15" s="470" t="s">
        <v>647</v>
      </c>
      <c r="B15" s="474"/>
      <c r="C15" s="1338">
        <v>567040.15</v>
      </c>
      <c r="D15" s="1339"/>
    </row>
    <row r="16" spans="1:4" ht="15">
      <c r="A16" s="475" t="s">
        <v>348</v>
      </c>
      <c r="B16" s="476"/>
      <c r="C16" s="1318">
        <f>C13+C14-C15</f>
        <v>160068.06999999995</v>
      </c>
      <c r="D16" s="1319"/>
    </row>
    <row r="17" spans="1:4" ht="14.25">
      <c r="A17" s="470" t="s">
        <v>498</v>
      </c>
      <c r="B17" s="474"/>
      <c r="C17" s="1334">
        <v>1004738.16</v>
      </c>
      <c r="D17" s="1335"/>
    </row>
    <row r="18" spans="1:4" ht="12.75">
      <c r="A18" s="82"/>
      <c r="B18" s="83"/>
      <c r="C18" s="83"/>
      <c r="D18" s="83"/>
    </row>
    <row r="19" spans="2:4" ht="12.75">
      <c r="B19" s="83"/>
      <c r="C19" s="81"/>
      <c r="D19" s="314"/>
    </row>
    <row r="20" spans="1:4" ht="15.75">
      <c r="A20" s="1340" t="s">
        <v>650</v>
      </c>
      <c r="B20" s="1340"/>
      <c r="C20" s="1340"/>
      <c r="D20" s="1340"/>
    </row>
    <row r="21" spans="1:4" ht="15.75">
      <c r="A21" s="1340" t="s">
        <v>346</v>
      </c>
      <c r="B21" s="1340"/>
      <c r="C21" s="1340"/>
      <c r="D21" s="1340"/>
    </row>
    <row r="22" spans="1:4" ht="12.75">
      <c r="A22" s="82"/>
      <c r="B22" s="82"/>
      <c r="C22" s="103"/>
      <c r="D22" s="82"/>
    </row>
    <row r="23" spans="1:4" ht="26.25" thickBot="1">
      <c r="A23" s="501" t="s">
        <v>892</v>
      </c>
      <c r="B23" s="502" t="s">
        <v>667</v>
      </c>
      <c r="C23" s="499" t="s">
        <v>673</v>
      </c>
      <c r="D23" s="503" t="s">
        <v>793</v>
      </c>
    </row>
    <row r="24" spans="1:4" ht="16.5" thickBot="1">
      <c r="A24" s="477" t="s">
        <v>913</v>
      </c>
      <c r="B24" s="504"/>
      <c r="C24" s="456"/>
      <c r="D24" s="676"/>
    </row>
    <row r="25" spans="1:4" ht="26.25">
      <c r="A25" s="546" t="s">
        <v>105</v>
      </c>
      <c r="B25" s="637" t="s">
        <v>652</v>
      </c>
      <c r="C25" s="536"/>
      <c r="D25" s="528">
        <v>117012.31</v>
      </c>
    </row>
    <row r="26" spans="1:4" ht="15">
      <c r="A26" s="492" t="s">
        <v>654</v>
      </c>
      <c r="B26" s="398" t="s">
        <v>656</v>
      </c>
      <c r="C26" s="398" t="s">
        <v>801</v>
      </c>
      <c r="D26" s="509">
        <v>68555.5</v>
      </c>
    </row>
    <row r="27" spans="1:4" ht="24.75">
      <c r="A27" s="389" t="s">
        <v>14</v>
      </c>
      <c r="B27" s="399" t="s">
        <v>657</v>
      </c>
      <c r="C27" s="508"/>
      <c r="D27" s="393">
        <v>85703.25</v>
      </c>
    </row>
    <row r="28" spans="1:4" ht="15">
      <c r="A28" s="546" t="s">
        <v>931</v>
      </c>
      <c r="B28" s="397" t="s">
        <v>661</v>
      </c>
      <c r="C28" s="506"/>
      <c r="D28" s="507">
        <v>144</v>
      </c>
    </row>
    <row r="29" spans="1:4" ht="23.25" customHeight="1">
      <c r="A29" s="492" t="s">
        <v>273</v>
      </c>
      <c r="B29" s="399"/>
      <c r="C29" s="508"/>
      <c r="D29" s="509">
        <v>6087.29</v>
      </c>
    </row>
    <row r="30" spans="1:4" ht="15.75" thickBot="1">
      <c r="A30" s="413" t="s">
        <v>13</v>
      </c>
      <c r="B30" s="609"/>
      <c r="C30" s="610"/>
      <c r="D30" s="595">
        <v>8968.63</v>
      </c>
    </row>
    <row r="31" spans="1:4" ht="15.75" thickBot="1">
      <c r="A31" s="805" t="s">
        <v>701</v>
      </c>
      <c r="B31" s="980"/>
      <c r="C31" s="981"/>
      <c r="D31" s="839">
        <v>286470.98</v>
      </c>
    </row>
    <row r="32" spans="1:4" ht="15.75" thickBot="1">
      <c r="A32" s="487" t="s">
        <v>607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4" ht="15">
      <c r="A34" s="385" t="s">
        <v>697</v>
      </c>
      <c r="B34" s="365"/>
      <c r="C34" s="441">
        <v>2</v>
      </c>
      <c r="D34" s="434">
        <v>7568.39</v>
      </c>
    </row>
    <row r="35" spans="1:4" ht="15">
      <c r="A35" s="376" t="s">
        <v>60</v>
      </c>
      <c r="B35" s="365" t="s">
        <v>817</v>
      </c>
      <c r="C35" s="441">
        <v>1</v>
      </c>
      <c r="D35" s="434">
        <v>3967.4</v>
      </c>
    </row>
    <row r="36" spans="1:4" ht="15">
      <c r="A36" s="376" t="s">
        <v>276</v>
      </c>
      <c r="B36" s="365" t="s">
        <v>40</v>
      </c>
      <c r="C36" s="441">
        <v>5</v>
      </c>
      <c r="D36" s="434">
        <v>823.82</v>
      </c>
    </row>
    <row r="37" spans="1:4" ht="15">
      <c r="A37" s="376" t="s">
        <v>1013</v>
      </c>
      <c r="B37" s="365"/>
      <c r="C37" s="441">
        <v>1</v>
      </c>
      <c r="D37" s="434">
        <v>7768.51</v>
      </c>
    </row>
    <row r="38" spans="1:4" ht="15.75">
      <c r="A38" s="547" t="s">
        <v>1016</v>
      </c>
      <c r="B38" s="365" t="s">
        <v>478</v>
      </c>
      <c r="C38" s="421">
        <v>2</v>
      </c>
      <c r="D38" s="434">
        <v>221974.76</v>
      </c>
    </row>
    <row r="39" spans="1:4" ht="15">
      <c r="A39" s="383" t="s">
        <v>274</v>
      </c>
      <c r="B39" s="365"/>
      <c r="C39" s="441">
        <v>1</v>
      </c>
      <c r="D39" s="434">
        <v>92809</v>
      </c>
    </row>
    <row r="40" spans="1:4" ht="15">
      <c r="A40" s="389" t="s">
        <v>598</v>
      </c>
      <c r="B40" s="746" t="s">
        <v>661</v>
      </c>
      <c r="C40" s="491"/>
      <c r="D40" s="402">
        <v>71034.13</v>
      </c>
    </row>
    <row r="41" spans="1:4" ht="15.75" thickBot="1">
      <c r="A41" s="843" t="s">
        <v>275</v>
      </c>
      <c r="B41" s="758"/>
      <c r="C41" s="807">
        <v>6</v>
      </c>
      <c r="D41" s="541">
        <v>17492.65</v>
      </c>
    </row>
    <row r="42" spans="1:4" ht="15.75" thickBot="1">
      <c r="A42" s="806" t="s">
        <v>701</v>
      </c>
      <c r="B42" s="825"/>
      <c r="C42" s="1013"/>
      <c r="D42" s="858">
        <v>423438.66</v>
      </c>
    </row>
    <row r="43" spans="1:4" ht="15">
      <c r="A43" s="465" t="s">
        <v>445</v>
      </c>
      <c r="B43" s="800"/>
      <c r="C43" s="441"/>
      <c r="D43" s="441"/>
    </row>
    <row r="44" spans="1:4" ht="15">
      <c r="A44" s="377" t="s">
        <v>972</v>
      </c>
      <c r="B44" s="365"/>
      <c r="C44" s="421">
        <v>1</v>
      </c>
      <c r="D44" s="422">
        <v>26603</v>
      </c>
    </row>
    <row r="45" spans="1:4" ht="15">
      <c r="A45" s="359" t="s">
        <v>327</v>
      </c>
      <c r="B45" s="677" t="s">
        <v>111</v>
      </c>
      <c r="C45" s="421">
        <v>1</v>
      </c>
      <c r="D45" s="555">
        <v>679.55</v>
      </c>
    </row>
    <row r="46" spans="1:4" ht="15">
      <c r="A46" s="359" t="s">
        <v>277</v>
      </c>
      <c r="B46" s="365" t="s">
        <v>478</v>
      </c>
      <c r="C46" s="421">
        <v>2</v>
      </c>
      <c r="D46" s="422">
        <v>643.66</v>
      </c>
    </row>
    <row r="47" spans="1:4" ht="15.75" thickBot="1">
      <c r="A47" s="807" t="s">
        <v>278</v>
      </c>
      <c r="B47" s="758" t="s">
        <v>40</v>
      </c>
      <c r="C47" s="439">
        <v>1</v>
      </c>
      <c r="D47" s="439">
        <v>2786.16</v>
      </c>
    </row>
    <row r="48" spans="1:4" ht="15.75" thickBot="1">
      <c r="A48" s="806" t="s">
        <v>701</v>
      </c>
      <c r="B48" s="811"/>
      <c r="C48" s="803"/>
      <c r="D48" s="841">
        <v>30712.37</v>
      </c>
    </row>
    <row r="49" spans="1:4" ht="15">
      <c r="A49" s="1214" t="s">
        <v>279</v>
      </c>
      <c r="B49" s="1170"/>
      <c r="C49" s="836"/>
      <c r="D49" s="661"/>
    </row>
    <row r="50" spans="1:4" ht="15.75" thickBot="1">
      <c r="A50" s="526" t="s">
        <v>695</v>
      </c>
      <c r="B50" s="758"/>
      <c r="C50" s="439">
        <v>1</v>
      </c>
      <c r="D50" s="439">
        <v>311.39</v>
      </c>
    </row>
    <row r="51" spans="1:4" ht="15.75" thickBot="1">
      <c r="A51" s="806" t="s">
        <v>701</v>
      </c>
      <c r="B51" s="811"/>
      <c r="C51" s="803"/>
      <c r="D51" s="863">
        <v>311.39</v>
      </c>
    </row>
    <row r="52" spans="1:4" ht="15">
      <c r="A52" s="890" t="s">
        <v>361</v>
      </c>
      <c r="B52" s="570"/>
      <c r="C52" s="441"/>
      <c r="D52" s="441"/>
    </row>
    <row r="53" spans="1:4" ht="15">
      <c r="A53" s="1054" t="s">
        <v>280</v>
      </c>
      <c r="B53" s="570" t="s">
        <v>961</v>
      </c>
      <c r="C53" s="441">
        <v>1</v>
      </c>
      <c r="D53" s="441">
        <v>798.2</v>
      </c>
    </row>
    <row r="54" spans="1:4" ht="15">
      <c r="A54" s="1054" t="s">
        <v>479</v>
      </c>
      <c r="B54" s="570" t="s">
        <v>52</v>
      </c>
      <c r="C54" s="441">
        <v>7</v>
      </c>
      <c r="D54" s="441">
        <v>4638.53</v>
      </c>
    </row>
    <row r="55" spans="1:4" ht="15">
      <c r="A55" s="1054" t="s">
        <v>882</v>
      </c>
      <c r="B55" s="570"/>
      <c r="C55" s="441">
        <v>3</v>
      </c>
      <c r="D55" s="441">
        <v>1152.81</v>
      </c>
    </row>
    <row r="56" spans="1:4" ht="15.75" thickBot="1">
      <c r="A56" s="999" t="s">
        <v>1020</v>
      </c>
      <c r="B56" s="834" t="s">
        <v>40</v>
      </c>
      <c r="C56" s="836">
        <v>3</v>
      </c>
      <c r="D56" s="836">
        <v>14867.05</v>
      </c>
    </row>
    <row r="57" spans="1:4" ht="15.75" thickBot="1">
      <c r="A57" s="806" t="s">
        <v>631</v>
      </c>
      <c r="B57" s="811"/>
      <c r="C57" s="803"/>
      <c r="D57" s="863">
        <v>21456.59</v>
      </c>
    </row>
    <row r="58" spans="1:4" ht="15">
      <c r="A58" s="890" t="s">
        <v>281</v>
      </c>
      <c r="B58" s="570"/>
      <c r="C58" s="441"/>
      <c r="D58" s="441"/>
    </row>
    <row r="59" spans="1:4" ht="15">
      <c r="A59" s="1054" t="s">
        <v>886</v>
      </c>
      <c r="B59" s="570" t="s">
        <v>40</v>
      </c>
      <c r="C59" s="441">
        <v>4</v>
      </c>
      <c r="D59" s="441">
        <v>4041.38</v>
      </c>
    </row>
    <row r="60" spans="1:4" ht="15">
      <c r="A60" s="1054" t="s">
        <v>415</v>
      </c>
      <c r="B60" s="570" t="s">
        <v>52</v>
      </c>
      <c r="C60" s="441">
        <v>2</v>
      </c>
      <c r="D60" s="441">
        <v>2029.55</v>
      </c>
    </row>
    <row r="61" spans="1:4" ht="15.75" thickBot="1">
      <c r="A61" s="526" t="s">
        <v>402</v>
      </c>
      <c r="B61" s="758"/>
      <c r="C61" s="439">
        <v>4</v>
      </c>
      <c r="D61" s="439">
        <v>2114.78</v>
      </c>
    </row>
    <row r="62" spans="1:4" ht="15.75" thickBot="1">
      <c r="A62" s="806" t="s">
        <v>701</v>
      </c>
      <c r="B62" s="811"/>
      <c r="C62" s="803"/>
      <c r="D62" s="863">
        <v>8185.71</v>
      </c>
    </row>
    <row r="63" spans="1:4" ht="15">
      <c r="A63" s="377"/>
      <c r="B63" s="570"/>
      <c r="C63" s="441"/>
      <c r="D63" s="896"/>
    </row>
    <row r="64" spans="1:4" ht="15.75" thickBot="1">
      <c r="A64" s="390"/>
      <c r="B64" s="748"/>
      <c r="C64" s="617"/>
      <c r="D64" s="618"/>
    </row>
    <row r="65" spans="1:4" ht="15.75" thickBot="1">
      <c r="A65" s="806" t="s">
        <v>375</v>
      </c>
      <c r="B65" s="811"/>
      <c r="C65" s="803"/>
      <c r="D65" s="533">
        <v>484104.72</v>
      </c>
    </row>
    <row r="66" spans="1:4" ht="15">
      <c r="A66" s="377"/>
      <c r="B66" s="570"/>
      <c r="C66" s="441"/>
      <c r="D66" s="810"/>
    </row>
    <row r="67" spans="1:4" ht="15">
      <c r="A67" s="944" t="s">
        <v>743</v>
      </c>
      <c r="B67" s="365"/>
      <c r="C67" s="601"/>
      <c r="D67" s="1089">
        <v>25385.63</v>
      </c>
    </row>
    <row r="68" spans="1:4" ht="15">
      <c r="A68" s="944" t="s">
        <v>904</v>
      </c>
      <c r="B68" s="365"/>
      <c r="C68" s="431"/>
      <c r="D68" s="891">
        <v>23215.97</v>
      </c>
    </row>
    <row r="69" spans="1:4" ht="15">
      <c r="A69" s="808" t="s">
        <v>735</v>
      </c>
      <c r="B69" s="757"/>
      <c r="C69" s="427"/>
      <c r="D69" s="428">
        <v>185560.86</v>
      </c>
    </row>
    <row r="70" spans="1:4" ht="15.75" thickBot="1">
      <c r="A70" s="526"/>
      <c r="B70" s="758"/>
      <c r="C70" s="435"/>
      <c r="D70" s="541"/>
    </row>
    <row r="71" spans="1:4" ht="15.75" thickBot="1">
      <c r="A71" s="806" t="s">
        <v>918</v>
      </c>
      <c r="B71" s="811"/>
      <c r="C71" s="907"/>
      <c r="D71" s="858">
        <v>1004738.16</v>
      </c>
    </row>
    <row r="72" spans="1:4" ht="14.25">
      <c r="A72" s="530"/>
      <c r="B72" s="440"/>
      <c r="C72" s="531"/>
      <c r="D72" s="662"/>
    </row>
    <row r="73" spans="1:4" ht="15">
      <c r="A73" s="370"/>
      <c r="B73" s="370"/>
      <c r="C73" s="370"/>
      <c r="D73" s="371"/>
    </row>
    <row r="74" spans="1:4" ht="15">
      <c r="A74" s="370"/>
      <c r="B74" s="370"/>
      <c r="C74" s="370"/>
      <c r="D74" s="371"/>
    </row>
    <row r="75" spans="1:4" ht="14.25">
      <c r="A75" s="764"/>
      <c r="B75" s="358"/>
      <c r="C75" s="359"/>
      <c r="D75" s="1262"/>
    </row>
    <row r="76" spans="1:4" ht="15">
      <c r="A76" s="1251" t="s">
        <v>568</v>
      </c>
      <c r="B76" s="1257"/>
      <c r="C76" s="467"/>
      <c r="D76" s="467">
        <v>0</v>
      </c>
    </row>
    <row r="77" spans="1:4" ht="15">
      <c r="A77" s="1332" t="s">
        <v>569</v>
      </c>
      <c r="B77" s="1332"/>
      <c r="C77" s="628"/>
      <c r="D77" s="608">
        <v>567040.15</v>
      </c>
    </row>
    <row r="78" spans="1:4" ht="15">
      <c r="A78" s="1332" t="s">
        <v>570</v>
      </c>
      <c r="B78" s="1332"/>
      <c r="C78" s="607"/>
      <c r="D78" s="608">
        <v>1004738.16</v>
      </c>
    </row>
    <row r="79" spans="1:4" ht="15">
      <c r="A79" s="1333" t="s">
        <v>571</v>
      </c>
      <c r="B79" s="1333"/>
      <c r="C79" s="629"/>
      <c r="D79" s="629">
        <v>437698.01</v>
      </c>
    </row>
    <row r="80" spans="1:4" ht="15">
      <c r="A80" s="1332" t="s">
        <v>179</v>
      </c>
      <c r="B80" s="1332"/>
      <c r="C80" s="1258"/>
      <c r="D80" s="630">
        <v>437698.01</v>
      </c>
    </row>
    <row r="81" spans="1:4" ht="15">
      <c r="A81" s="538"/>
      <c r="B81" s="538"/>
      <c r="C81" s="1259"/>
      <c r="D81" s="1260"/>
    </row>
    <row r="82" spans="1:4" ht="15">
      <c r="A82" s="538"/>
      <c r="B82" s="538"/>
      <c r="C82" s="1259"/>
      <c r="D82" s="1260"/>
    </row>
    <row r="83" spans="1:4" ht="15">
      <c r="A83" s="538"/>
      <c r="B83" s="538"/>
      <c r="C83" s="1259"/>
      <c r="D83" s="1260"/>
    </row>
    <row r="84" spans="1:4" ht="15">
      <c r="A84" s="538" t="s">
        <v>180</v>
      </c>
      <c r="B84" s="538"/>
      <c r="C84" s="1259" t="s">
        <v>573</v>
      </c>
      <c r="D84" s="1260"/>
    </row>
    <row r="85" spans="1:4" ht="15">
      <c r="A85" s="538"/>
      <c r="B85" s="538"/>
      <c r="C85" s="1259"/>
      <c r="D85" s="1260"/>
    </row>
    <row r="86" ht="12.75">
      <c r="A86" s="735" t="s">
        <v>357</v>
      </c>
    </row>
    <row r="87" ht="12.75">
      <c r="A87" s="735" t="s">
        <v>906</v>
      </c>
    </row>
    <row r="88" ht="12.75">
      <c r="A88" s="735" t="s">
        <v>358</v>
      </c>
    </row>
  </sheetData>
  <sheetProtection/>
  <mergeCells count="18">
    <mergeCell ref="A9:B9"/>
    <mergeCell ref="A11:B12"/>
    <mergeCell ref="A4:B4"/>
    <mergeCell ref="A5:B5"/>
    <mergeCell ref="A6:B6"/>
    <mergeCell ref="A7:B7"/>
    <mergeCell ref="C11:D12"/>
    <mergeCell ref="C13:D13"/>
    <mergeCell ref="A20:D20"/>
    <mergeCell ref="A21:D21"/>
    <mergeCell ref="C14:D14"/>
    <mergeCell ref="C15:D15"/>
    <mergeCell ref="C16:D16"/>
    <mergeCell ref="C17:D17"/>
    <mergeCell ref="A77:B77"/>
    <mergeCell ref="A78:B78"/>
    <mergeCell ref="A79:B79"/>
    <mergeCell ref="A80:B80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7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710937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860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91135.58+849.8</f>
        <v>91985.38</v>
      </c>
      <c r="E11" s="25">
        <v>18889.13</v>
      </c>
    </row>
    <row r="12" spans="2:5" ht="16.5" thickBot="1">
      <c r="B12" s="1398" t="s">
        <v>646</v>
      </c>
      <c r="C12" s="1399"/>
      <c r="D12" s="89">
        <f>979495.32+5949.28</f>
        <v>985444.6</v>
      </c>
      <c r="E12" s="5">
        <v>50742.51</v>
      </c>
    </row>
    <row r="13" spans="2:5" ht="16.5" thickBot="1">
      <c r="B13" s="1398" t="s">
        <v>647</v>
      </c>
      <c r="C13" s="1399"/>
      <c r="D13" s="5">
        <f>973296.02+6849.28</f>
        <v>980145.3</v>
      </c>
      <c r="E13" s="5">
        <v>69141.9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40873.8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97284.67999999993</v>
      </c>
      <c r="E17" s="5">
        <f>E11+E12-E13</f>
        <v>489.74000000000524</v>
      </c>
    </row>
    <row r="18" spans="2:5" ht="16.5" thickBot="1">
      <c r="B18" s="1398" t="s">
        <v>806</v>
      </c>
      <c r="C18" s="1399"/>
      <c r="D18" s="75">
        <f>E24+E46</f>
        <v>781697.19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E25+E31+E33+E34+E44</f>
        <v>629094.0399999999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311498.04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149921.37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134839.57</v>
      </c>
    </row>
    <row r="34" spans="2:5" ht="16.5" thickBot="1">
      <c r="B34" s="67" t="s">
        <v>879</v>
      </c>
      <c r="C34" s="64" t="s">
        <v>661</v>
      </c>
      <c r="D34" s="43"/>
      <c r="E34" s="230">
        <v>1814.45</v>
      </c>
    </row>
    <row r="35" spans="2:5" ht="16.5" hidden="1" thickBot="1">
      <c r="B35" s="68" t="s">
        <v>758</v>
      </c>
      <c r="C35" s="64" t="s">
        <v>665</v>
      </c>
      <c r="D35" s="43"/>
      <c r="E35" s="238"/>
    </row>
    <row r="36" spans="2:5" ht="32.25" hidden="1" thickBot="1">
      <c r="B36" s="67" t="s">
        <v>664</v>
      </c>
      <c r="C36" s="65" t="s">
        <v>661</v>
      </c>
      <c r="D36" s="44"/>
      <c r="E36" s="174"/>
    </row>
    <row r="37" spans="2:5" ht="32.25" hidden="1" thickBot="1">
      <c r="B37" s="67" t="s">
        <v>671</v>
      </c>
      <c r="C37" s="65" t="s">
        <v>661</v>
      </c>
      <c r="D37" s="72"/>
      <c r="E37" s="239"/>
    </row>
    <row r="38" spans="2:5" ht="78.75" hidden="1" thickBot="1">
      <c r="B38" s="36" t="s">
        <v>790</v>
      </c>
      <c r="C38" s="65" t="s">
        <v>661</v>
      </c>
      <c r="D38" s="44"/>
      <c r="E38" s="174"/>
    </row>
    <row r="39" spans="2:5" ht="48" hidden="1" thickBot="1">
      <c r="B39" s="67" t="s">
        <v>767</v>
      </c>
      <c r="C39" s="64" t="s">
        <v>766</v>
      </c>
      <c r="D39" s="43"/>
      <c r="E39" s="238"/>
    </row>
    <row r="40" spans="2:5" ht="32.25" hidden="1" thickBot="1">
      <c r="B40" s="67" t="s">
        <v>668</v>
      </c>
      <c r="C40" s="65" t="s">
        <v>661</v>
      </c>
      <c r="D40" s="44"/>
      <c r="E40" s="174"/>
    </row>
    <row r="41" spans="2:5" ht="16.5" hidden="1" thickBot="1">
      <c r="B41" s="67" t="s">
        <v>799</v>
      </c>
      <c r="C41" s="65" t="s">
        <v>661</v>
      </c>
      <c r="D41" s="44"/>
      <c r="E41" s="174"/>
    </row>
    <row r="42" spans="2:5" ht="39.75" hidden="1" thickBot="1">
      <c r="B42" s="67" t="s">
        <v>670</v>
      </c>
      <c r="C42" s="64" t="s">
        <v>684</v>
      </c>
      <c r="D42" s="46"/>
      <c r="E42" s="240"/>
    </row>
    <row r="43" spans="2:5" ht="48" hidden="1" thickBot="1">
      <c r="B43" s="68" t="s">
        <v>800</v>
      </c>
      <c r="C43" s="65" t="s">
        <v>661</v>
      </c>
      <c r="D43" s="44"/>
      <c r="E43" s="174"/>
    </row>
    <row r="44" spans="2:5" ht="16.5" thickBot="1">
      <c r="B44" s="69" t="s">
        <v>685</v>
      </c>
      <c r="C44" s="212" t="s">
        <v>817</v>
      </c>
      <c r="D44" s="43" t="s">
        <v>801</v>
      </c>
      <c r="E44" s="231">
        <v>31020.61</v>
      </c>
    </row>
    <row r="45" spans="2:5" ht="32.25" hidden="1" thickBot="1">
      <c r="B45" s="70" t="s">
        <v>802</v>
      </c>
      <c r="C45" s="47"/>
      <c r="D45" s="44"/>
      <c r="E45" s="174"/>
    </row>
    <row r="46" spans="2:5" ht="20.25" thickBot="1">
      <c r="B46" s="14" t="s">
        <v>760</v>
      </c>
      <c r="C46" s="17"/>
      <c r="E46" s="263">
        <f>E58</f>
        <v>152603.15</v>
      </c>
    </row>
    <row r="47" spans="2:5" ht="15.75" thickBot="1">
      <c r="B47" s="150" t="s">
        <v>672</v>
      </c>
      <c r="C47" s="15" t="s">
        <v>920</v>
      </c>
      <c r="D47" s="49" t="s">
        <v>673</v>
      </c>
      <c r="E47" s="176" t="s">
        <v>793</v>
      </c>
    </row>
    <row r="48" spans="2:5" ht="15.75">
      <c r="B48" s="217" t="s">
        <v>816</v>
      </c>
      <c r="C48" s="255" t="s">
        <v>661</v>
      </c>
      <c r="D48" s="149"/>
      <c r="E48" s="266">
        <v>728.2</v>
      </c>
    </row>
    <row r="49" spans="2:5" ht="15.75">
      <c r="B49" s="188" t="s">
        <v>997</v>
      </c>
      <c r="C49" s="255" t="s">
        <v>661</v>
      </c>
      <c r="D49" s="154"/>
      <c r="E49" s="266">
        <v>2370.04</v>
      </c>
    </row>
    <row r="50" spans="2:5" ht="14.25">
      <c r="B50" s="151" t="s">
        <v>676</v>
      </c>
      <c r="C50" s="116"/>
      <c r="D50" s="153"/>
      <c r="E50" s="177"/>
    </row>
    <row r="51" spans="2:5" ht="14.25">
      <c r="B51" s="132" t="s">
        <v>883</v>
      </c>
      <c r="C51" s="74" t="s">
        <v>661</v>
      </c>
      <c r="D51" s="153"/>
      <c r="E51" s="179">
        <f>912.7+112568.11</f>
        <v>113480.81</v>
      </c>
    </row>
    <row r="52" spans="2:5" ht="14.25">
      <c r="B52" s="157" t="s">
        <v>880</v>
      </c>
      <c r="C52" s="74" t="s">
        <v>661</v>
      </c>
      <c r="D52" s="152"/>
      <c r="E52" s="177">
        <v>8045.12</v>
      </c>
    </row>
    <row r="53" spans="2:5" ht="14.25">
      <c r="B53" s="157" t="s">
        <v>925</v>
      </c>
      <c r="C53" s="74" t="s">
        <v>661</v>
      </c>
      <c r="D53" s="152"/>
      <c r="E53" s="177">
        <v>12037.91</v>
      </c>
    </row>
    <row r="54" spans="2:5" ht="15">
      <c r="B54" s="151" t="s">
        <v>1025</v>
      </c>
      <c r="C54" s="118"/>
      <c r="D54" s="152"/>
      <c r="E54" s="220"/>
    </row>
    <row r="55" spans="2:5" ht="14.25">
      <c r="B55" s="159" t="s">
        <v>998</v>
      </c>
      <c r="C55" s="74" t="s">
        <v>661</v>
      </c>
      <c r="D55" s="152"/>
      <c r="E55" s="177">
        <f>12660.18+1218.52</f>
        <v>13878.7</v>
      </c>
    </row>
    <row r="56" spans="2:5" ht="15.75" customHeight="1">
      <c r="B56" s="159" t="s">
        <v>929</v>
      </c>
      <c r="C56" s="74" t="s">
        <v>661</v>
      </c>
      <c r="D56" s="13"/>
      <c r="E56" s="268">
        <v>2062.37</v>
      </c>
    </row>
    <row r="57" spans="2:5" ht="12.75" hidden="1">
      <c r="B57" s="13"/>
      <c r="C57" s="13"/>
      <c r="D57" s="13"/>
      <c r="E57" s="85"/>
    </row>
    <row r="58" spans="2:5" ht="12.75" hidden="1">
      <c r="B58" s="117" t="s">
        <v>1014</v>
      </c>
      <c r="C58" s="13"/>
      <c r="D58" s="13"/>
      <c r="E58" s="256">
        <f>E48+E51+E52+E55+E56+E53+E49</f>
        <v>152603.15</v>
      </c>
    </row>
    <row r="59" spans="2:5" ht="12.75">
      <c r="B59" s="103"/>
      <c r="C59" s="11"/>
      <c r="D59" s="11"/>
      <c r="E59" s="207"/>
    </row>
    <row r="60" spans="2:5" ht="12.75">
      <c r="B60" s="103"/>
      <c r="C60" s="11"/>
      <c r="D60" s="11"/>
      <c r="E60" s="207"/>
    </row>
    <row r="61" spans="2:5" ht="12.75">
      <c r="B61" s="103"/>
      <c r="C61" s="11"/>
      <c r="D61" s="11"/>
      <c r="E61" s="207"/>
    </row>
    <row r="62" spans="2:5" ht="12.75">
      <c r="B62" s="103"/>
      <c r="C62" s="11"/>
      <c r="D62" s="11"/>
      <c r="E62" s="207"/>
    </row>
    <row r="63" spans="2:5" ht="12.75">
      <c r="B63" s="11"/>
      <c r="C63" s="11"/>
      <c r="D63" s="11"/>
      <c r="E63" s="207"/>
    </row>
    <row r="64" spans="2:5" ht="15.75">
      <c r="B64" s="6" t="s">
        <v>830</v>
      </c>
      <c r="C64" s="6" t="s">
        <v>889</v>
      </c>
      <c r="E64" s="254"/>
    </row>
    <row r="69" spans="2:5" ht="15" hidden="1">
      <c r="B69" s="18" t="s">
        <v>557</v>
      </c>
      <c r="C69" s="12" t="s">
        <v>675</v>
      </c>
      <c r="D69" s="50">
        <f>2</f>
        <v>2</v>
      </c>
      <c r="E69" s="55">
        <f>9456</f>
        <v>9456</v>
      </c>
    </row>
    <row r="70" spans="2:5" ht="15" hidden="1">
      <c r="B70" s="18" t="s">
        <v>815</v>
      </c>
      <c r="C70" s="12" t="s">
        <v>675</v>
      </c>
      <c r="D70" s="50">
        <f>25+11</f>
        <v>36</v>
      </c>
      <c r="E70" s="55">
        <f>10209+4771</f>
        <v>14980</v>
      </c>
    </row>
    <row r="71" spans="2:5" ht="15" hidden="1">
      <c r="B71" s="18" t="s">
        <v>820</v>
      </c>
      <c r="C71" s="12" t="s">
        <v>675</v>
      </c>
      <c r="D71" s="50">
        <f>1</f>
        <v>1</v>
      </c>
      <c r="E71" s="55">
        <f>2726</f>
        <v>2726</v>
      </c>
    </row>
    <row r="72" spans="2:5" ht="15" hidden="1">
      <c r="B72" s="18" t="s">
        <v>688</v>
      </c>
      <c r="C72" s="12" t="s">
        <v>675</v>
      </c>
      <c r="D72" s="50">
        <f>2</f>
        <v>2</v>
      </c>
      <c r="E72" s="55">
        <f>6388</f>
        <v>6388</v>
      </c>
    </row>
    <row r="73" spans="2:5" ht="15" hidden="1">
      <c r="B73" s="18" t="s">
        <v>768</v>
      </c>
      <c r="C73" s="12" t="s">
        <v>677</v>
      </c>
      <c r="D73" s="50"/>
      <c r="E73" s="55"/>
    </row>
    <row r="74" spans="2:5" ht="15" hidden="1">
      <c r="B74" s="18" t="s">
        <v>637</v>
      </c>
      <c r="C74" s="12" t="s">
        <v>678</v>
      </c>
      <c r="D74" s="50"/>
      <c r="E74" s="55"/>
    </row>
    <row r="75" spans="2:5" ht="15.75" hidden="1" thickBot="1">
      <c r="B75" s="18"/>
      <c r="C75" s="13"/>
      <c r="D75" s="50"/>
      <c r="E75" s="55"/>
    </row>
    <row r="76" spans="2:5" ht="16.5" hidden="1" thickBot="1">
      <c r="B76" s="37"/>
      <c r="C76" s="38"/>
      <c r="D76" s="51"/>
      <c r="E76" s="39"/>
    </row>
    <row r="77" spans="2:5" ht="16.5" hidden="1" thickBot="1">
      <c r="B77" s="37"/>
      <c r="C77" s="38"/>
      <c r="D77" s="51"/>
      <c r="E77" s="39"/>
    </row>
    <row r="78" spans="2:5" ht="12.75" hidden="1">
      <c r="B78" s="40"/>
      <c r="C78" s="38"/>
      <c r="D78" s="52"/>
      <c r="E78" s="56"/>
    </row>
    <row r="79" spans="2:5" ht="12.75" hidden="1">
      <c r="B79" s="40"/>
      <c r="C79" s="38"/>
      <c r="D79" s="52"/>
      <c r="E79" s="56"/>
    </row>
    <row r="80" spans="2:5" ht="18.75" hidden="1" thickBot="1">
      <c r="B80" s="41" t="s">
        <v>553</v>
      </c>
      <c r="C80" s="38"/>
      <c r="D80" s="52"/>
      <c r="E80" s="56"/>
    </row>
    <row r="81" spans="2:5" ht="16.5" hidden="1" thickBot="1">
      <c r="B81" s="37" t="s">
        <v>555</v>
      </c>
      <c r="C81" s="39" t="s">
        <v>661</v>
      </c>
      <c r="D81" s="51"/>
      <c r="E81" s="39"/>
    </row>
    <row r="82" spans="2:5" ht="16.5" hidden="1" thickBot="1">
      <c r="B82" s="37" t="s">
        <v>556</v>
      </c>
      <c r="C82" s="38"/>
      <c r="D82" s="51"/>
      <c r="E82" s="39"/>
    </row>
    <row r="83" spans="2:5" ht="16.5" hidden="1" thickBot="1">
      <c r="B83" s="42" t="s">
        <v>559</v>
      </c>
      <c r="C83" s="38"/>
      <c r="D83" s="51"/>
      <c r="E83" s="39"/>
    </row>
    <row r="84" spans="2:5" ht="16.5" hidden="1" thickBot="1">
      <c r="B84" s="37" t="s">
        <v>558</v>
      </c>
      <c r="C84" s="38"/>
      <c r="D84" s="51"/>
      <c r="E84" s="39"/>
    </row>
    <row r="85" spans="2:5" ht="16.5" hidden="1" thickBot="1">
      <c r="B85" s="37" t="s">
        <v>560</v>
      </c>
      <c r="C85" s="38"/>
      <c r="D85" s="51"/>
      <c r="E85" s="39"/>
    </row>
    <row r="86" spans="2:5" ht="16.5" hidden="1" thickBot="1">
      <c r="B86" s="37" t="s">
        <v>557</v>
      </c>
      <c r="C86" s="38"/>
      <c r="D86" s="51"/>
      <c r="E86" s="39"/>
    </row>
    <row r="87" spans="2:5" ht="16.5" hidden="1" thickBot="1">
      <c r="B87" s="37" t="s">
        <v>567</v>
      </c>
      <c r="C87" s="38"/>
      <c r="D87" s="51"/>
      <c r="E87" s="39"/>
    </row>
    <row r="88" spans="2:5" ht="16.5" hidden="1" thickBot="1">
      <c r="B88" s="37" t="s">
        <v>575</v>
      </c>
      <c r="C88" s="38"/>
      <c r="D88" s="51"/>
      <c r="E88" s="39"/>
    </row>
    <row r="89" spans="2:5" ht="16.5" hidden="1" thickBot="1">
      <c r="B89" s="37" t="s">
        <v>576</v>
      </c>
      <c r="C89" s="38"/>
      <c r="D89" s="51"/>
      <c r="E89" s="39"/>
    </row>
    <row r="90" spans="2:5" ht="16.5" hidden="1" thickBot="1">
      <c r="B90" s="37" t="s">
        <v>577</v>
      </c>
      <c r="C90" s="38"/>
      <c r="D90" s="51"/>
      <c r="E90" s="39"/>
    </row>
    <row r="91" spans="2:5" ht="16.5" hidden="1" thickBot="1">
      <c r="B91" s="37" t="s">
        <v>636</v>
      </c>
      <c r="C91" s="38"/>
      <c r="D91" s="51"/>
      <c r="E91" s="39"/>
    </row>
    <row r="92" spans="2:5" ht="12.75" hidden="1">
      <c r="B92" s="40"/>
      <c r="C92" s="38"/>
      <c r="D92" s="52"/>
      <c r="E92" s="56"/>
    </row>
    <row r="93" spans="2:5" ht="12.75" hidden="1">
      <c r="B93" s="40"/>
      <c r="C93" s="38"/>
      <c r="D93" s="52"/>
      <c r="E93" s="56"/>
    </row>
    <row r="94" spans="2:5" ht="18.75" hidden="1" thickBot="1">
      <c r="B94" s="41" t="s">
        <v>554</v>
      </c>
      <c r="C94" s="38"/>
      <c r="D94" s="52"/>
      <c r="E94" s="56"/>
    </row>
    <row r="95" spans="2:5" ht="16.5" hidden="1" thickBot="1">
      <c r="B95" s="37" t="s">
        <v>555</v>
      </c>
      <c r="C95" s="39" t="s">
        <v>661</v>
      </c>
      <c r="D95" s="51"/>
      <c r="E95" s="39"/>
    </row>
    <row r="96" spans="2:5" ht="16.5" hidden="1" thickBot="1">
      <c r="B96" s="37" t="s">
        <v>556</v>
      </c>
      <c r="C96" s="38"/>
      <c r="D96" s="51"/>
      <c r="E96" s="39"/>
    </row>
    <row r="97" spans="2:5" ht="16.5" hidden="1" thickBot="1">
      <c r="B97" s="37" t="s">
        <v>558</v>
      </c>
      <c r="C97" s="38"/>
      <c r="D97" s="51"/>
      <c r="E97" s="39"/>
    </row>
    <row r="98" spans="2:5" ht="16.5" hidden="1" thickBot="1">
      <c r="B98" s="37" t="s">
        <v>557</v>
      </c>
      <c r="C98" s="38"/>
      <c r="D98" s="51"/>
      <c r="E98" s="39"/>
    </row>
    <row r="99" spans="2:5" ht="16.5" hidden="1" thickBot="1">
      <c r="B99" s="42" t="s">
        <v>561</v>
      </c>
      <c r="C99" s="38"/>
      <c r="D99" s="51"/>
      <c r="E99" s="39"/>
    </row>
    <row r="100" spans="2:5" ht="16.5" hidden="1" thickBot="1">
      <c r="B100" s="37" t="s">
        <v>635</v>
      </c>
      <c r="C100" s="38"/>
      <c r="D100" s="51"/>
      <c r="E100" s="39"/>
    </row>
    <row r="101" spans="2:5" ht="16.5" hidden="1" thickBot="1">
      <c r="B101" s="37" t="s">
        <v>636</v>
      </c>
      <c r="C101" s="38"/>
      <c r="D101" s="51"/>
      <c r="E101" s="39"/>
    </row>
    <row r="102" spans="2:5" ht="16.5" hidden="1" thickBot="1">
      <c r="B102" s="37" t="s">
        <v>638</v>
      </c>
      <c r="C102" s="38"/>
      <c r="D102" s="51"/>
      <c r="E102" s="39"/>
    </row>
    <row r="103" spans="2:5" ht="16.5" hidden="1" thickBot="1">
      <c r="B103" s="37" t="s">
        <v>639</v>
      </c>
      <c r="C103" s="38"/>
      <c r="D103" s="51"/>
      <c r="E103" s="39"/>
    </row>
    <row r="104" spans="2:5" ht="15" hidden="1">
      <c r="B104" s="37"/>
      <c r="C104" s="38"/>
      <c r="D104" s="52"/>
      <c r="E104" s="56"/>
    </row>
    <row r="105" spans="2:5" ht="12.75" hidden="1">
      <c r="B105" s="28"/>
      <c r="C105" s="13"/>
      <c r="D105" s="11"/>
      <c r="E105" s="54"/>
    </row>
    <row r="106" spans="2:5" ht="15" hidden="1">
      <c r="B106" s="19" t="s">
        <v>681</v>
      </c>
      <c r="C106" s="13"/>
      <c r="D106" s="11"/>
      <c r="E106" s="54"/>
    </row>
    <row r="107" spans="2:5" ht="15" hidden="1">
      <c r="B107" s="20" t="s">
        <v>813</v>
      </c>
      <c r="C107" s="74" t="s">
        <v>677</v>
      </c>
      <c r="D107" s="13">
        <f>4.2+2.7</f>
        <v>6.9</v>
      </c>
      <c r="E107" s="13">
        <f>11790+7355</f>
        <v>19145</v>
      </c>
    </row>
    <row r="108" spans="2:5" ht="15" hidden="1">
      <c r="B108" s="20" t="s">
        <v>814</v>
      </c>
      <c r="C108" s="74" t="s">
        <v>677</v>
      </c>
      <c r="D108" s="13">
        <f>4.5</f>
        <v>4.5</v>
      </c>
      <c r="E108" s="13">
        <f>3414</f>
        <v>3414</v>
      </c>
    </row>
    <row r="109" spans="2:5" ht="15" hidden="1">
      <c r="B109" s="20" t="s">
        <v>819</v>
      </c>
      <c r="C109" s="74" t="s">
        <v>677</v>
      </c>
      <c r="D109" s="13">
        <f>6</f>
        <v>6</v>
      </c>
      <c r="E109" s="13">
        <f>7842</f>
        <v>7842</v>
      </c>
    </row>
    <row r="110" spans="2:5" ht="15" hidden="1">
      <c r="B110" s="20" t="s">
        <v>679</v>
      </c>
      <c r="C110" s="12" t="s">
        <v>674</v>
      </c>
      <c r="D110" s="50"/>
      <c r="E110" s="55"/>
    </row>
    <row r="111" spans="2:5" ht="15" hidden="1">
      <c r="B111" s="20" t="s">
        <v>563</v>
      </c>
      <c r="C111" s="12" t="s">
        <v>674</v>
      </c>
      <c r="D111" s="50"/>
      <c r="E111" s="55"/>
    </row>
    <row r="112" spans="2:5" ht="15" hidden="1">
      <c r="B112" s="20" t="s">
        <v>564</v>
      </c>
      <c r="C112" s="12" t="s">
        <v>674</v>
      </c>
      <c r="D112" s="50"/>
      <c r="E112" s="55"/>
    </row>
    <row r="113" spans="2:5" ht="15" hidden="1">
      <c r="B113" s="20" t="s">
        <v>772</v>
      </c>
      <c r="C113" s="12" t="s">
        <v>675</v>
      </c>
      <c r="D113" s="50"/>
      <c r="E113" s="55"/>
    </row>
    <row r="114" spans="2:5" ht="15" hidden="1">
      <c r="B114" s="20" t="s">
        <v>762</v>
      </c>
      <c r="C114" s="12" t="s">
        <v>674</v>
      </c>
      <c r="D114" s="50"/>
      <c r="E114" s="55"/>
    </row>
    <row r="115" spans="2:5" ht="12.75" hidden="1">
      <c r="B115" s="29"/>
      <c r="C115" s="13"/>
      <c r="D115" s="11"/>
      <c r="E115" s="54"/>
    </row>
    <row r="116" spans="2:5" ht="18" hidden="1">
      <c r="B116" s="19" t="s">
        <v>682</v>
      </c>
      <c r="C116" s="2"/>
      <c r="D116" s="50"/>
      <c r="E116" s="55"/>
    </row>
    <row r="117" spans="2:5" ht="15" hidden="1">
      <c r="B117" s="20" t="s">
        <v>566</v>
      </c>
      <c r="C117" s="3"/>
      <c r="D117" s="50"/>
      <c r="E117" s="55"/>
    </row>
    <row r="118" spans="2:5" ht="15" hidden="1">
      <c r="B118" s="20" t="s">
        <v>565</v>
      </c>
      <c r="C118" s="12" t="s">
        <v>680</v>
      </c>
      <c r="D118" s="50"/>
      <c r="E118" s="55"/>
    </row>
    <row r="119" spans="2:5" ht="15" hidden="1">
      <c r="B119" s="20" t="s">
        <v>659</v>
      </c>
      <c r="C119" s="12" t="s">
        <v>675</v>
      </c>
      <c r="D119" s="50"/>
      <c r="E119" s="55"/>
    </row>
    <row r="120" spans="2:5" ht="15" hidden="1">
      <c r="B120" s="20" t="s">
        <v>660</v>
      </c>
      <c r="C120" s="12" t="s">
        <v>675</v>
      </c>
      <c r="D120" s="50"/>
      <c r="E120" s="55"/>
    </row>
    <row r="121" spans="2:5" ht="15" hidden="1">
      <c r="B121" s="20" t="s">
        <v>640</v>
      </c>
      <c r="C121" s="12" t="s">
        <v>675</v>
      </c>
      <c r="D121" s="50"/>
      <c r="E121" s="55"/>
    </row>
    <row r="122" spans="2:5" ht="15" hidden="1">
      <c r="B122" s="20" t="s">
        <v>818</v>
      </c>
      <c r="C122" s="12" t="s">
        <v>675</v>
      </c>
      <c r="D122" s="50">
        <f>15</f>
        <v>15</v>
      </c>
      <c r="E122" s="55">
        <f>50695</f>
        <v>50695</v>
      </c>
    </row>
    <row r="123" spans="2:5" ht="12.75" hidden="1">
      <c r="B123" s="28"/>
      <c r="C123" s="13"/>
      <c r="D123" s="50"/>
      <c r="E123" s="55"/>
    </row>
    <row r="124" spans="2:5" ht="15" hidden="1">
      <c r="B124" s="33" t="s">
        <v>683</v>
      </c>
      <c r="C124" s="13"/>
      <c r="D124" s="50"/>
      <c r="E124" s="55"/>
    </row>
    <row r="125" spans="1:5" ht="15.75" hidden="1">
      <c r="A125" s="6"/>
      <c r="B125" s="77" t="s">
        <v>821</v>
      </c>
      <c r="C125" s="78"/>
      <c r="D125" s="79"/>
      <c r="E125" s="80">
        <f>SUM(E48:E124)</f>
        <v>419852.3</v>
      </c>
    </row>
    <row r="126" spans="2:5" ht="15.75" hidden="1" thickBot="1">
      <c r="B126" s="21"/>
      <c r="C126" s="30"/>
      <c r="D126" s="53"/>
      <c r="E126" s="57"/>
    </row>
    <row r="127" spans="2:5" ht="15" hidden="1">
      <c r="B127" s="71"/>
      <c r="C127" s="11"/>
      <c r="D127" s="11"/>
      <c r="E127" s="11"/>
    </row>
    <row r="128" spans="2:3" ht="15.75" hidden="1">
      <c r="B128" s="6" t="s">
        <v>830</v>
      </c>
      <c r="C128" s="6" t="s">
        <v>829</v>
      </c>
    </row>
    <row r="129" ht="15.75" hidden="1">
      <c r="B129" s="6"/>
    </row>
    <row r="130" ht="15.75" hidden="1">
      <c r="B130" s="6"/>
    </row>
    <row r="131" ht="15.75" hidden="1">
      <c r="B131" s="6"/>
    </row>
    <row r="132" ht="15.75" hidden="1">
      <c r="B132" s="6"/>
    </row>
    <row r="133" ht="15.75" hidden="1">
      <c r="B133" s="6"/>
    </row>
    <row r="134" ht="12.75" hidden="1">
      <c r="B134" s="8" t="s">
        <v>763</v>
      </c>
    </row>
    <row r="135" spans="2:4" ht="15.75" hidden="1">
      <c r="B135" s="31" t="s">
        <v>663</v>
      </c>
      <c r="C135" s="32"/>
      <c r="D135" s="32"/>
    </row>
    <row r="136" ht="15.75" hidden="1">
      <c r="B136" s="31" t="s">
        <v>764</v>
      </c>
    </row>
    <row r="137" ht="15.75" hidden="1">
      <c r="B137" s="31" t="s">
        <v>771</v>
      </c>
    </row>
    <row r="138" ht="12.75" hidden="1"/>
    <row r="139" ht="15.75" hidden="1">
      <c r="B139" s="7"/>
    </row>
    <row r="140" ht="12.75" hidden="1"/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99CC"/>
  </sheetPr>
  <dimension ref="A1:G92"/>
  <sheetViews>
    <sheetView zoomScalePageLayoutView="0" workbookViewId="0" topLeftCell="A8">
      <selection activeCell="C19" sqref="C19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7" max="7" width="9.57421875" style="0" bestFit="1" customWidth="1"/>
  </cols>
  <sheetData>
    <row r="1" spans="1:4" ht="14.25" hidden="1">
      <c r="A1" s="307" t="s">
        <v>113</v>
      </c>
      <c r="B1" s="298" t="s">
        <v>40</v>
      </c>
      <c r="C1" s="299">
        <v>1</v>
      </c>
      <c r="D1" s="302">
        <v>0</v>
      </c>
    </row>
    <row r="4" ht="12.75">
      <c r="D4" s="1" t="s">
        <v>792</v>
      </c>
    </row>
    <row r="5" spans="1:4" ht="22.5">
      <c r="A5" s="1331" t="s">
        <v>687</v>
      </c>
      <c r="B5" s="1331"/>
      <c r="C5" s="140"/>
      <c r="D5" s="140"/>
    </row>
    <row r="6" spans="1:4" ht="15.75">
      <c r="A6" s="1363" t="s">
        <v>497</v>
      </c>
      <c r="B6" s="1363"/>
      <c r="C6" s="91"/>
      <c r="D6" s="91"/>
    </row>
    <row r="7" spans="1:4" ht="15.75">
      <c r="A7" s="1363" t="s">
        <v>641</v>
      </c>
      <c r="B7" s="1363"/>
      <c r="C7" s="91"/>
      <c r="D7" s="91"/>
    </row>
    <row r="8" spans="1:4" ht="15.75">
      <c r="A8" s="1363" t="s">
        <v>804</v>
      </c>
      <c r="B8" s="1363"/>
      <c r="C8" s="91"/>
      <c r="D8" s="91"/>
    </row>
    <row r="9" spans="1:3" ht="18.75">
      <c r="A9" s="26"/>
      <c r="B9" s="26"/>
      <c r="C9"/>
    </row>
    <row r="10" spans="1:4" ht="15">
      <c r="A10" s="1343" t="s">
        <v>894</v>
      </c>
      <c r="B10" s="1343"/>
      <c r="C10" s="139"/>
      <c r="D10" s="139"/>
    </row>
    <row r="11" spans="1:4" ht="15">
      <c r="A11" s="324"/>
      <c r="B11" s="324"/>
      <c r="C11" s="139"/>
      <c r="D11" s="139"/>
    </row>
    <row r="12" spans="1:4" ht="12.75" customHeight="1">
      <c r="A12" s="1366" t="s">
        <v>642</v>
      </c>
      <c r="B12" s="1367"/>
      <c r="C12" s="1366" t="s">
        <v>895</v>
      </c>
      <c r="D12" s="1367"/>
    </row>
    <row r="13" spans="1:4" ht="12.75">
      <c r="A13" s="1368"/>
      <c r="B13" s="1369"/>
      <c r="C13" s="1368"/>
      <c r="D13" s="1369"/>
    </row>
    <row r="14" spans="1:4" ht="15">
      <c r="A14" s="372" t="s">
        <v>347</v>
      </c>
      <c r="B14" s="472"/>
      <c r="C14" s="1370">
        <v>154747.62</v>
      </c>
      <c r="D14" s="1371"/>
    </row>
    <row r="15" spans="1:4" ht="15">
      <c r="A15" s="471" t="s">
        <v>486</v>
      </c>
      <c r="B15" s="473"/>
      <c r="C15" s="1316">
        <v>979495.32</v>
      </c>
      <c r="D15" s="1317"/>
    </row>
    <row r="16" spans="1:4" ht="15">
      <c r="A16" s="470" t="s">
        <v>647</v>
      </c>
      <c r="B16" s="474"/>
      <c r="C16" s="1338">
        <v>1021710.65</v>
      </c>
      <c r="D16" s="1339"/>
    </row>
    <row r="17" spans="1:7" ht="15">
      <c r="A17" s="475" t="s">
        <v>348</v>
      </c>
      <c r="B17" s="476"/>
      <c r="C17" s="1318">
        <f>C14+C15-C16</f>
        <v>112532.28999999992</v>
      </c>
      <c r="D17" s="1319"/>
      <c r="G17" s="111"/>
    </row>
    <row r="18" spans="1:4" ht="14.25">
      <c r="A18" s="470" t="s">
        <v>539</v>
      </c>
      <c r="B18" s="474"/>
      <c r="C18" s="1334">
        <v>775352.27</v>
      </c>
      <c r="D18" s="1335"/>
    </row>
    <row r="19" spans="1:4" ht="12.75">
      <c r="A19" s="82"/>
      <c r="B19" s="83"/>
      <c r="C19" s="83"/>
      <c r="D19" s="83"/>
    </row>
    <row r="20" spans="2:4" ht="12.75">
      <c r="B20" s="83"/>
      <c r="C20" s="81"/>
      <c r="D20" s="314"/>
    </row>
    <row r="21" spans="1:4" ht="15.75">
      <c r="A21" s="1340" t="s">
        <v>650</v>
      </c>
      <c r="B21" s="1340"/>
      <c r="C21" s="1340"/>
      <c r="D21" s="1340"/>
    </row>
    <row r="22" spans="1:4" ht="15.75">
      <c r="A22" s="1340" t="s">
        <v>346</v>
      </c>
      <c r="B22" s="1340"/>
      <c r="C22" s="1340"/>
      <c r="D22" s="1340"/>
    </row>
    <row r="23" spans="1:4" ht="12.75">
      <c r="A23" s="82"/>
      <c r="B23" s="82"/>
      <c r="C23" s="103"/>
      <c r="D23" s="82"/>
    </row>
    <row r="24" spans="1:4" ht="26.25" thickBot="1">
      <c r="A24" s="501" t="s">
        <v>892</v>
      </c>
      <c r="B24" s="502" t="s">
        <v>667</v>
      </c>
      <c r="C24" s="499" t="s">
        <v>673</v>
      </c>
      <c r="D24" s="503" t="s">
        <v>793</v>
      </c>
    </row>
    <row r="25" spans="1:4" ht="16.5" thickBot="1">
      <c r="A25" s="477" t="s">
        <v>913</v>
      </c>
      <c r="B25" s="504"/>
      <c r="C25" s="456"/>
      <c r="D25" s="676"/>
    </row>
    <row r="26" spans="1:4" ht="26.25">
      <c r="A26" s="546" t="s">
        <v>105</v>
      </c>
      <c r="B26" s="637" t="s">
        <v>652</v>
      </c>
      <c r="C26" s="536"/>
      <c r="D26" s="528">
        <v>185862.74</v>
      </c>
    </row>
    <row r="27" spans="1:4" ht="15">
      <c r="A27" s="492" t="s">
        <v>654</v>
      </c>
      <c r="B27" s="398" t="s">
        <v>656</v>
      </c>
      <c r="C27" s="398" t="s">
        <v>801</v>
      </c>
      <c r="D27" s="509">
        <v>108893.78</v>
      </c>
    </row>
    <row r="28" spans="1:4" ht="24.75">
      <c r="A28" s="546" t="s">
        <v>288</v>
      </c>
      <c r="B28" s="397" t="s">
        <v>657</v>
      </c>
      <c r="C28" s="506"/>
      <c r="D28" s="507">
        <v>136131.33</v>
      </c>
    </row>
    <row r="29" spans="1:4" ht="15">
      <c r="A29" s="492" t="s">
        <v>628</v>
      </c>
      <c r="B29" s="399"/>
      <c r="C29" s="508"/>
      <c r="D29" s="509">
        <v>9669.06</v>
      </c>
    </row>
    <row r="30" spans="1:4" ht="15.75" thickBot="1">
      <c r="A30" s="413" t="s">
        <v>13</v>
      </c>
      <c r="B30" s="609"/>
      <c r="C30" s="610"/>
      <c r="D30" s="595">
        <v>6749.35</v>
      </c>
    </row>
    <row r="31" spans="1:4" ht="15.75" thickBot="1">
      <c r="A31" s="805" t="s">
        <v>701</v>
      </c>
      <c r="B31" s="980"/>
      <c r="C31" s="981"/>
      <c r="D31" s="839">
        <v>447306.26</v>
      </c>
    </row>
    <row r="32" spans="1:4" ht="15.75" thickBot="1">
      <c r="A32" s="487" t="s">
        <v>914</v>
      </c>
      <c r="B32" s="461"/>
      <c r="C32" s="462"/>
      <c r="D32" s="463"/>
    </row>
    <row r="33" spans="1:4" ht="24">
      <c r="A33" s="943" t="s">
        <v>194</v>
      </c>
      <c r="B33" s="514" t="s">
        <v>920</v>
      </c>
      <c r="C33" s="515" t="s">
        <v>673</v>
      </c>
      <c r="D33" s="516" t="s">
        <v>793</v>
      </c>
    </row>
    <row r="34" spans="1:7" ht="15">
      <c r="A34" s="383" t="s">
        <v>285</v>
      </c>
      <c r="B34" s="514"/>
      <c r="C34" s="443">
        <v>1</v>
      </c>
      <c r="D34" s="434">
        <v>311.39</v>
      </c>
      <c r="E34" s="1216"/>
      <c r="F34" s="1216"/>
      <c r="G34" s="1216"/>
    </row>
    <row r="35" spans="1:4" ht="15">
      <c r="A35" s="383" t="s">
        <v>286</v>
      </c>
      <c r="B35" s="433" t="s">
        <v>287</v>
      </c>
      <c r="C35" s="443">
        <v>1</v>
      </c>
      <c r="D35" s="434">
        <v>1721.23</v>
      </c>
    </row>
    <row r="36" spans="1:4" ht="15">
      <c r="A36" s="383" t="s">
        <v>230</v>
      </c>
      <c r="B36" s="433" t="s">
        <v>40</v>
      </c>
      <c r="C36" s="443">
        <v>1</v>
      </c>
      <c r="D36" s="434">
        <v>1536.78</v>
      </c>
    </row>
    <row r="37" spans="1:4" ht="15">
      <c r="A37" s="383" t="s">
        <v>697</v>
      </c>
      <c r="B37" s="514"/>
      <c r="C37" s="443">
        <v>1</v>
      </c>
      <c r="D37" s="434">
        <v>3583.22</v>
      </c>
    </row>
    <row r="38" spans="1:4" ht="28.5">
      <c r="A38" s="546" t="s">
        <v>954</v>
      </c>
      <c r="B38" s="433" t="s">
        <v>40</v>
      </c>
      <c r="C38" s="443">
        <v>1</v>
      </c>
      <c r="D38" s="434">
        <v>800.03</v>
      </c>
    </row>
    <row r="39" spans="1:4" ht="15">
      <c r="A39" s="383" t="s">
        <v>816</v>
      </c>
      <c r="B39" s="433" t="s">
        <v>817</v>
      </c>
      <c r="C39" s="443">
        <v>6.6</v>
      </c>
      <c r="D39" s="434">
        <v>16277</v>
      </c>
    </row>
    <row r="40" spans="1:4" ht="15">
      <c r="A40" s="383" t="s">
        <v>11</v>
      </c>
      <c r="B40" s="570"/>
      <c r="C40" s="602"/>
      <c r="D40" s="434">
        <v>17794.75</v>
      </c>
    </row>
    <row r="41" spans="1:4" ht="15.75" thickBot="1">
      <c r="A41" s="807" t="s">
        <v>284</v>
      </c>
      <c r="B41" s="721"/>
      <c r="C41" s="439"/>
      <c r="D41" s="1064">
        <v>5319</v>
      </c>
    </row>
    <row r="42" spans="1:4" ht="15.75" thickBot="1">
      <c r="A42" s="806" t="s">
        <v>701</v>
      </c>
      <c r="B42" s="811"/>
      <c r="C42" s="1215"/>
      <c r="D42" s="1138">
        <v>47343.4</v>
      </c>
    </row>
    <row r="43" spans="1:4" ht="15">
      <c r="A43" s="1045" t="s">
        <v>445</v>
      </c>
      <c r="B43" s="1042"/>
      <c r="C43" s="1043"/>
      <c r="D43" s="1044"/>
    </row>
    <row r="44" spans="1:4" ht="15">
      <c r="A44" s="389" t="s">
        <v>393</v>
      </c>
      <c r="B44" s="747"/>
      <c r="C44" s="490">
        <v>11</v>
      </c>
      <c r="D44" s="1044">
        <v>6767.06</v>
      </c>
    </row>
    <row r="45" spans="1:4" ht="15">
      <c r="A45" s="389" t="s">
        <v>239</v>
      </c>
      <c r="B45" s="747" t="s">
        <v>40</v>
      </c>
      <c r="C45" s="490">
        <v>3</v>
      </c>
      <c r="D45" s="1044">
        <v>4659.65</v>
      </c>
    </row>
    <row r="46" spans="1:4" ht="15">
      <c r="A46" s="389" t="s">
        <v>368</v>
      </c>
      <c r="B46" s="747" t="s">
        <v>111</v>
      </c>
      <c r="C46" s="490">
        <v>1</v>
      </c>
      <c r="D46" s="1044">
        <v>804.74</v>
      </c>
    </row>
    <row r="47" spans="1:4" ht="15">
      <c r="A47" s="389" t="s">
        <v>289</v>
      </c>
      <c r="B47" s="747" t="s">
        <v>211</v>
      </c>
      <c r="C47" s="490">
        <v>1</v>
      </c>
      <c r="D47" s="1044">
        <v>1522.05</v>
      </c>
    </row>
    <row r="48" spans="1:4" ht="15">
      <c r="A48" s="389" t="s">
        <v>704</v>
      </c>
      <c r="B48" s="747" t="s">
        <v>40</v>
      </c>
      <c r="C48" s="490">
        <v>1</v>
      </c>
      <c r="D48" s="1044">
        <v>401.6</v>
      </c>
    </row>
    <row r="49" spans="1:4" ht="15">
      <c r="A49" s="389" t="s">
        <v>173</v>
      </c>
      <c r="B49" s="747" t="s">
        <v>40</v>
      </c>
      <c r="C49" s="490">
        <v>1</v>
      </c>
      <c r="D49" s="1044">
        <v>628.18</v>
      </c>
    </row>
    <row r="50" spans="1:4" ht="15.75" thickBot="1">
      <c r="A50" s="369" t="s">
        <v>378</v>
      </c>
      <c r="B50" s="365"/>
      <c r="C50" s="602">
        <v>1</v>
      </c>
      <c r="D50" s="434">
        <v>51082</v>
      </c>
    </row>
    <row r="51" spans="1:4" ht="15.75" thickBot="1">
      <c r="A51" s="806" t="s">
        <v>701</v>
      </c>
      <c r="B51" s="811"/>
      <c r="C51" s="803"/>
      <c r="D51" s="858">
        <v>65865.28</v>
      </c>
    </row>
    <row r="52" spans="1:4" ht="15">
      <c r="A52" s="465" t="s">
        <v>780</v>
      </c>
      <c r="B52" s="800"/>
      <c r="C52" s="441"/>
      <c r="D52" s="441"/>
    </row>
    <row r="53" spans="1:4" ht="15">
      <c r="A53" s="377" t="s">
        <v>283</v>
      </c>
      <c r="B53" s="365" t="s">
        <v>211</v>
      </c>
      <c r="C53" s="421">
        <v>1</v>
      </c>
      <c r="D53" s="422">
        <v>4724</v>
      </c>
    </row>
    <row r="54" spans="1:4" ht="15">
      <c r="A54" s="377" t="s">
        <v>303</v>
      </c>
      <c r="B54" s="365" t="s">
        <v>40</v>
      </c>
      <c r="C54" s="421">
        <v>2</v>
      </c>
      <c r="D54" s="422">
        <v>822.23</v>
      </c>
    </row>
    <row r="55" spans="1:4" ht="15.75" thickBot="1">
      <c r="A55" s="799" t="s">
        <v>267</v>
      </c>
      <c r="B55" s="758"/>
      <c r="C55" s="439">
        <v>3</v>
      </c>
      <c r="D55" s="424">
        <v>1082.52</v>
      </c>
    </row>
    <row r="56" spans="1:4" ht="15.75" thickBot="1">
      <c r="A56" s="806" t="s">
        <v>701</v>
      </c>
      <c r="B56" s="811"/>
      <c r="C56" s="803"/>
      <c r="D56" s="533">
        <v>6628.75</v>
      </c>
    </row>
    <row r="57" spans="1:4" ht="15">
      <c r="A57" s="808" t="s">
        <v>424</v>
      </c>
      <c r="B57" s="570"/>
      <c r="C57" s="441"/>
      <c r="D57" s="947"/>
    </row>
    <row r="58" spans="1:4" ht="15.75" thickBot="1">
      <c r="A58" s="807" t="s">
        <v>695</v>
      </c>
      <c r="B58" s="758"/>
      <c r="C58" s="439">
        <v>1</v>
      </c>
      <c r="D58" s="425">
        <v>353.14</v>
      </c>
    </row>
    <row r="59" spans="1:4" ht="15.75" thickBot="1">
      <c r="A59" s="806" t="s">
        <v>701</v>
      </c>
      <c r="B59" s="811"/>
      <c r="C59" s="803"/>
      <c r="D59" s="841">
        <v>353.14</v>
      </c>
    </row>
    <row r="60" spans="1:4" ht="15">
      <c r="A60" s="808" t="s">
        <v>425</v>
      </c>
      <c r="B60" s="570"/>
      <c r="C60" s="441"/>
      <c r="D60" s="896"/>
    </row>
    <row r="61" spans="1:4" ht="15">
      <c r="A61" s="359" t="s">
        <v>479</v>
      </c>
      <c r="B61" s="365"/>
      <c r="C61" s="421">
        <v>3</v>
      </c>
      <c r="D61" s="425">
        <v>2800.32</v>
      </c>
    </row>
    <row r="62" spans="1:4" ht="15">
      <c r="A62" s="359" t="s">
        <v>1020</v>
      </c>
      <c r="B62" s="365" t="s">
        <v>478</v>
      </c>
      <c r="C62" s="421">
        <v>1</v>
      </c>
      <c r="D62" s="424">
        <v>539.21</v>
      </c>
    </row>
    <row r="63" spans="1:4" ht="15">
      <c r="A63" s="359" t="s">
        <v>479</v>
      </c>
      <c r="B63" s="365" t="s">
        <v>52</v>
      </c>
      <c r="C63" s="421">
        <v>3</v>
      </c>
      <c r="D63" s="424">
        <v>3114.33</v>
      </c>
    </row>
    <row r="64" spans="1:4" ht="15.75" thickBot="1">
      <c r="A64" s="390" t="s">
        <v>290</v>
      </c>
      <c r="B64" s="748" t="s">
        <v>40</v>
      </c>
      <c r="C64" s="617">
        <v>1</v>
      </c>
      <c r="D64" s="618">
        <v>2396</v>
      </c>
    </row>
    <row r="65" spans="1:4" ht="15.75" thickBot="1">
      <c r="A65" s="806" t="s">
        <v>701</v>
      </c>
      <c r="B65" s="811"/>
      <c r="C65" s="803"/>
      <c r="D65" s="533">
        <v>8849.86</v>
      </c>
    </row>
    <row r="66" spans="1:4" ht="15">
      <c r="A66" s="890" t="s">
        <v>386</v>
      </c>
      <c r="B66" s="570"/>
      <c r="C66" s="441"/>
      <c r="D66" s="598"/>
    </row>
    <row r="67" spans="1:4" ht="15.75" thickBot="1">
      <c r="A67" s="1217" t="s">
        <v>402</v>
      </c>
      <c r="B67" s="758"/>
      <c r="C67" s="439">
        <v>3</v>
      </c>
      <c r="D67" s="541">
        <v>1910.61</v>
      </c>
    </row>
    <row r="68" spans="1:4" ht="15.75" thickBot="1">
      <c r="A68" s="806" t="s">
        <v>701</v>
      </c>
      <c r="B68" s="811"/>
      <c r="C68" s="803"/>
      <c r="D68" s="858">
        <v>1910.61</v>
      </c>
    </row>
    <row r="69" spans="1:4" ht="15.75" thickBot="1">
      <c r="A69" s="807"/>
      <c r="B69" s="758"/>
      <c r="C69" s="439"/>
      <c r="D69" s="541"/>
    </row>
    <row r="70" spans="1:4" ht="15.75" thickBot="1">
      <c r="A70" s="806" t="s">
        <v>282</v>
      </c>
      <c r="B70" s="811"/>
      <c r="C70" s="803"/>
      <c r="D70" s="533">
        <v>130951.04</v>
      </c>
    </row>
    <row r="71" spans="1:4" ht="15">
      <c r="A71" s="377"/>
      <c r="B71" s="570"/>
      <c r="C71" s="441"/>
      <c r="D71" s="810"/>
    </row>
    <row r="72" spans="1:4" ht="15">
      <c r="A72" s="944" t="s">
        <v>743</v>
      </c>
      <c r="B72" s="365"/>
      <c r="C72" s="431"/>
      <c r="D72" s="1089">
        <v>40322.63</v>
      </c>
    </row>
    <row r="73" spans="1:4" ht="15">
      <c r="A73" s="808" t="s">
        <v>376</v>
      </c>
      <c r="B73" s="757"/>
      <c r="C73" s="427"/>
      <c r="D73" s="428">
        <v>13575.79</v>
      </c>
    </row>
    <row r="74" spans="1:4" ht="15">
      <c r="A74" s="955" t="s">
        <v>735</v>
      </c>
      <c r="B74" s="365"/>
      <c r="C74" s="427"/>
      <c r="D74" s="869">
        <v>143196.55</v>
      </c>
    </row>
    <row r="75" spans="1:4" ht="15.75" thickBot="1">
      <c r="A75" s="526"/>
      <c r="B75" s="758"/>
      <c r="C75" s="435"/>
      <c r="D75" s="541"/>
    </row>
    <row r="76" spans="1:4" ht="15.75" thickBot="1">
      <c r="A76" s="806" t="s">
        <v>918</v>
      </c>
      <c r="B76" s="957"/>
      <c r="C76" s="907"/>
      <c r="D76" s="858">
        <v>775352.27</v>
      </c>
    </row>
    <row r="77" spans="1:4" ht="15">
      <c r="A77" s="370"/>
      <c r="B77" s="370"/>
      <c r="C77" s="370"/>
      <c r="D77" s="371"/>
    </row>
    <row r="78" spans="1:4" ht="15">
      <c r="A78" s="370"/>
      <c r="B78" s="370"/>
      <c r="C78" s="370"/>
      <c r="D78" s="371"/>
    </row>
    <row r="79" spans="1:4" ht="14.25">
      <c r="A79" s="764"/>
      <c r="B79" s="358"/>
      <c r="C79" s="359"/>
      <c r="D79" s="1262"/>
    </row>
    <row r="80" spans="1:4" ht="15">
      <c r="A80" s="1251" t="s">
        <v>568</v>
      </c>
      <c r="B80" s="1257"/>
      <c r="C80" s="467"/>
      <c r="D80" s="467">
        <v>0</v>
      </c>
    </row>
    <row r="81" spans="1:4" ht="15">
      <c r="A81" s="1332" t="s">
        <v>569</v>
      </c>
      <c r="B81" s="1332"/>
      <c r="C81" s="628"/>
      <c r="D81" s="608">
        <v>1021710.65</v>
      </c>
    </row>
    <row r="82" spans="1:4" ht="15">
      <c r="A82" s="1332" t="s">
        <v>570</v>
      </c>
      <c r="B82" s="1332"/>
      <c r="C82" s="607"/>
      <c r="D82" s="608">
        <v>775352.27</v>
      </c>
    </row>
    <row r="83" spans="1:4" ht="15">
      <c r="A83" s="1333" t="s">
        <v>571</v>
      </c>
      <c r="B83" s="1333"/>
      <c r="C83" s="629"/>
      <c r="D83" s="629">
        <v>-246358.38</v>
      </c>
    </row>
    <row r="84" spans="1:4" ht="15">
      <c r="A84" s="1332" t="s">
        <v>179</v>
      </c>
      <c r="B84" s="1332"/>
      <c r="C84" s="1258"/>
      <c r="D84" s="630">
        <v>-246358.38</v>
      </c>
    </row>
    <row r="85" spans="1:4" ht="15">
      <c r="A85" s="538"/>
      <c r="B85" s="538"/>
      <c r="C85" s="1259"/>
      <c r="D85" s="1260"/>
    </row>
    <row r="86" spans="1:4" ht="15">
      <c r="A86" s="538"/>
      <c r="B86" s="538"/>
      <c r="C86" s="1259"/>
      <c r="D86" s="1260"/>
    </row>
    <row r="87" spans="1:4" ht="15">
      <c r="A87" s="538"/>
      <c r="B87" s="538"/>
      <c r="C87" s="1259"/>
      <c r="D87" s="1260"/>
    </row>
    <row r="88" spans="1:4" ht="15">
      <c r="A88" s="538" t="s">
        <v>180</v>
      </c>
      <c r="B88" s="538"/>
      <c r="C88" s="1259" t="s">
        <v>573</v>
      </c>
      <c r="D88" s="1260"/>
    </row>
    <row r="89" spans="1:4" ht="15">
      <c r="A89" s="538"/>
      <c r="B89" s="538"/>
      <c r="C89" s="1259"/>
      <c r="D89" s="1260"/>
    </row>
    <row r="90" ht="12.75">
      <c r="A90" s="735" t="s">
        <v>357</v>
      </c>
    </row>
    <row r="91" ht="12.75">
      <c r="A91" s="735" t="s">
        <v>906</v>
      </c>
    </row>
    <row r="92" ht="12.75">
      <c r="A92" s="735" t="s">
        <v>358</v>
      </c>
    </row>
  </sheetData>
  <sheetProtection/>
  <mergeCells count="18">
    <mergeCell ref="A21:D21"/>
    <mergeCell ref="A22:D22"/>
    <mergeCell ref="C15:D15"/>
    <mergeCell ref="C16:D16"/>
    <mergeCell ref="C17:D17"/>
    <mergeCell ref="C18:D18"/>
    <mergeCell ref="A5:B5"/>
    <mergeCell ref="A6:B6"/>
    <mergeCell ref="A7:B7"/>
    <mergeCell ref="A8:B8"/>
    <mergeCell ref="A10:B10"/>
    <mergeCell ref="A12:B13"/>
    <mergeCell ref="C12:D13"/>
    <mergeCell ref="C14:D14"/>
    <mergeCell ref="A81:B81"/>
    <mergeCell ref="A82:B82"/>
    <mergeCell ref="A83:B83"/>
    <mergeCell ref="A84:B84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8">
      <selection activeCell="B15" sqref="B15:C16"/>
    </sheetView>
  </sheetViews>
  <sheetFormatPr defaultColWidth="9.140625" defaultRowHeight="12.75"/>
  <cols>
    <col min="1" max="1" width="0.85546875" style="1" customWidth="1"/>
    <col min="2" max="2" width="66.57421875" style="1" customWidth="1"/>
    <col min="3" max="3" width="13.8515625" style="1" customWidth="1"/>
    <col min="4" max="4" width="16.00390625" style="1" customWidth="1"/>
    <col min="5" max="5" width="16.421875" style="1" customWidth="1"/>
    <col min="6" max="6" width="13.00390625" style="0" customWidth="1"/>
  </cols>
  <sheetData>
    <row r="1" ht="12.75">
      <c r="D1" s="1" t="s">
        <v>792</v>
      </c>
    </row>
    <row r="2" spans="2:4" ht="24.75">
      <c r="B2" s="1390" t="s">
        <v>687</v>
      </c>
      <c r="C2" s="1390"/>
      <c r="D2"/>
    </row>
    <row r="3" spans="2:4" ht="18.75">
      <c r="B3" s="1391" t="s">
        <v>803</v>
      </c>
      <c r="C3" s="1391"/>
      <c r="D3"/>
    </row>
    <row r="4" spans="2:4" ht="18.75">
      <c r="B4" s="1391" t="s">
        <v>641</v>
      </c>
      <c r="C4" s="1391"/>
      <c r="D4"/>
    </row>
    <row r="5" spans="2:4" ht="18.75">
      <c r="B5" s="1391" t="s">
        <v>877</v>
      </c>
      <c r="C5" s="1391"/>
      <c r="D5"/>
    </row>
    <row r="6" spans="2:4" ht="18.75">
      <c r="B6" s="26"/>
      <c r="C6" s="26"/>
      <c r="D6"/>
    </row>
    <row r="7" spans="2:4" ht="15.75">
      <c r="B7" s="1392" t="s">
        <v>861</v>
      </c>
      <c r="C7" s="1392"/>
      <c r="D7"/>
    </row>
    <row r="8" spans="2:4" ht="13.5" thickBot="1">
      <c r="B8" s="4"/>
      <c r="C8"/>
      <c r="D8"/>
    </row>
    <row r="9" spans="2:5" ht="38.25">
      <c r="B9" s="1393" t="s">
        <v>642</v>
      </c>
      <c r="C9" s="1394"/>
      <c r="D9" s="22" t="s">
        <v>643</v>
      </c>
      <c r="E9" s="23" t="s">
        <v>649</v>
      </c>
    </row>
    <row r="10" spans="2:5" ht="13.5" thickBot="1">
      <c r="B10" s="1395"/>
      <c r="C10" s="1396"/>
      <c r="D10" s="24" t="s">
        <v>644</v>
      </c>
      <c r="E10" s="25" t="s">
        <v>645</v>
      </c>
    </row>
    <row r="11" spans="2:5" ht="16.5" thickBot="1">
      <c r="B11" s="66" t="s">
        <v>794</v>
      </c>
      <c r="C11" s="58"/>
      <c r="D11" s="25">
        <f>121199.18+85.34</f>
        <v>121284.51999999999</v>
      </c>
      <c r="E11" s="25">
        <v>23838.32</v>
      </c>
    </row>
    <row r="12" spans="2:5" ht="16.5" thickBot="1">
      <c r="B12" s="1398" t="s">
        <v>646</v>
      </c>
      <c r="C12" s="1399"/>
      <c r="D12" s="89">
        <f>943788.24+1044.16</f>
        <v>944832.4</v>
      </c>
      <c r="E12" s="5">
        <v>47887.5</v>
      </c>
    </row>
    <row r="13" spans="2:5" ht="16.5" thickBot="1">
      <c r="B13" s="1398" t="s">
        <v>647</v>
      </c>
      <c r="C13" s="1399"/>
      <c r="D13" s="5">
        <f>953748.83+1129.5</f>
        <v>954878.33</v>
      </c>
      <c r="E13" s="5">
        <v>71875.96</v>
      </c>
    </row>
    <row r="14" spans="2:5" ht="16.5" hidden="1" thickBot="1">
      <c r="B14" s="1398" t="s">
        <v>666</v>
      </c>
      <c r="C14" s="1399"/>
      <c r="D14" s="5"/>
      <c r="E14" s="5"/>
    </row>
    <row r="15" spans="2:5" ht="16.5" thickBot="1">
      <c r="B15" s="1341" t="s">
        <v>46</v>
      </c>
      <c r="C15" s="1342"/>
      <c r="D15" s="5">
        <v>7855.32</v>
      </c>
      <c r="E15" s="5"/>
    </row>
    <row r="16" spans="2:5" ht="16.5" thickBot="1">
      <c r="B16" s="1341" t="s">
        <v>47</v>
      </c>
      <c r="C16" s="1342"/>
      <c r="D16" s="5"/>
      <c r="E16" s="5"/>
    </row>
    <row r="17" spans="2:5" ht="16.5" thickBot="1">
      <c r="B17" s="1398" t="s">
        <v>648</v>
      </c>
      <c r="C17" s="1399"/>
      <c r="D17" s="5">
        <f>D11+D12-D13</f>
        <v>111238.58999999997</v>
      </c>
      <c r="E17" s="5">
        <f>E11+E12-E13</f>
        <v>-150.13999999999942</v>
      </c>
    </row>
    <row r="18" spans="2:5" ht="16.5" thickBot="1">
      <c r="B18" s="1398" t="s">
        <v>806</v>
      </c>
      <c r="C18" s="1399"/>
      <c r="D18" s="75">
        <f>E24+E47</f>
        <v>869759.19</v>
      </c>
      <c r="E18" s="73"/>
    </row>
    <row r="19" spans="3:4" ht="12.75">
      <c r="C19" s="83"/>
      <c r="D19" s="81"/>
    </row>
    <row r="20" spans="2:5" ht="18.75">
      <c r="B20" s="1397" t="s">
        <v>650</v>
      </c>
      <c r="C20" s="1397"/>
      <c r="D20" s="1397"/>
      <c r="E20" s="1397"/>
    </row>
    <row r="21" spans="2:5" ht="18.75">
      <c r="B21" s="1397" t="s">
        <v>1009</v>
      </c>
      <c r="C21" s="1397"/>
      <c r="D21" s="1397"/>
      <c r="E21" s="1397"/>
    </row>
    <row r="22" ht="13.5" thickBot="1">
      <c r="D22" s="11"/>
    </row>
    <row r="23" spans="1:5" ht="32.25" thickBot="1">
      <c r="A23" s="9"/>
      <c r="B23" s="34" t="s">
        <v>651</v>
      </c>
      <c r="C23" s="60" t="s">
        <v>667</v>
      </c>
      <c r="D23" s="59" t="s">
        <v>673</v>
      </c>
      <c r="E23" s="63" t="s">
        <v>793</v>
      </c>
    </row>
    <row r="24" spans="1:5" ht="20.25" thickBot="1">
      <c r="A24" s="9"/>
      <c r="B24" s="35" t="s">
        <v>761</v>
      </c>
      <c r="C24" s="61"/>
      <c r="D24" s="10"/>
      <c r="E24" s="62">
        <f>E25+E31+E33+E34+E35+E45</f>
        <v>598261.2899999999</v>
      </c>
    </row>
    <row r="25" spans="1:5" ht="32.25" thickBot="1">
      <c r="A25" s="11"/>
      <c r="B25" s="67" t="s">
        <v>662</v>
      </c>
      <c r="C25" s="64" t="s">
        <v>652</v>
      </c>
      <c r="D25" s="43"/>
      <c r="E25" s="230">
        <v>234037.26</v>
      </c>
    </row>
    <row r="26" spans="2:5" ht="32.25" hidden="1" thickBot="1">
      <c r="B26" s="67" t="s">
        <v>686</v>
      </c>
      <c r="C26" s="65" t="s">
        <v>661</v>
      </c>
      <c r="D26" s="44"/>
      <c r="E26" s="174"/>
    </row>
    <row r="27" spans="2:5" ht="16.5" hidden="1" thickBot="1">
      <c r="B27" s="67" t="s">
        <v>765</v>
      </c>
      <c r="C27" s="65" t="s">
        <v>661</v>
      </c>
      <c r="D27" s="44"/>
      <c r="E27" s="174"/>
    </row>
    <row r="28" spans="2:5" ht="39.75" hidden="1" thickBot="1">
      <c r="B28" s="67" t="s">
        <v>655</v>
      </c>
      <c r="C28" s="64" t="s">
        <v>653</v>
      </c>
      <c r="D28" s="45"/>
      <c r="E28" s="237"/>
    </row>
    <row r="29" spans="2:5" ht="48" hidden="1" thickBot="1">
      <c r="B29" s="67" t="s">
        <v>796</v>
      </c>
      <c r="C29" s="65" t="s">
        <v>661</v>
      </c>
      <c r="D29" s="44"/>
      <c r="E29" s="174"/>
    </row>
    <row r="30" spans="2:5" ht="48" hidden="1" thickBot="1">
      <c r="B30" s="67" t="s">
        <v>797</v>
      </c>
      <c r="C30" s="65" t="s">
        <v>661</v>
      </c>
      <c r="D30" s="44"/>
      <c r="E30" s="174"/>
    </row>
    <row r="31" spans="2:5" ht="16.5" thickBot="1">
      <c r="B31" s="67" t="s">
        <v>654</v>
      </c>
      <c r="C31" s="48" t="s">
        <v>656</v>
      </c>
      <c r="D31" s="43" t="s">
        <v>801</v>
      </c>
      <c r="E31" s="230">
        <v>155688.4</v>
      </c>
    </row>
    <row r="32" spans="2:5" ht="32.25" hidden="1" thickBot="1">
      <c r="B32" s="67" t="s">
        <v>798</v>
      </c>
      <c r="C32" s="65" t="s">
        <v>661</v>
      </c>
      <c r="D32" s="47" t="s">
        <v>822</v>
      </c>
      <c r="E32" s="174"/>
    </row>
    <row r="33" spans="2:5" ht="27" thickBot="1">
      <c r="B33" s="67" t="s">
        <v>658</v>
      </c>
      <c r="C33" s="64" t="s">
        <v>657</v>
      </c>
      <c r="D33" s="43"/>
      <c r="E33" s="230">
        <v>145401.55</v>
      </c>
    </row>
    <row r="34" spans="2:5" ht="16.5" thickBot="1">
      <c r="B34" s="133" t="s">
        <v>799</v>
      </c>
      <c r="C34" s="64" t="s">
        <v>661</v>
      </c>
      <c r="D34" s="43"/>
      <c r="E34" s="230">
        <v>24000</v>
      </c>
    </row>
    <row r="35" spans="2:5" ht="16.5" thickBot="1">
      <c r="B35" s="67" t="s">
        <v>879</v>
      </c>
      <c r="C35" s="64" t="s">
        <v>661</v>
      </c>
      <c r="D35" s="43"/>
      <c r="E35" s="230">
        <f>6992.65+258.47</f>
        <v>7251.12</v>
      </c>
    </row>
    <row r="36" spans="2:5" ht="16.5" hidden="1" thickBot="1">
      <c r="B36" s="68" t="s">
        <v>758</v>
      </c>
      <c r="C36" s="64" t="s">
        <v>665</v>
      </c>
      <c r="D36" s="43"/>
      <c r="E36" s="238"/>
    </row>
    <row r="37" spans="2:5" ht="32.25" hidden="1" thickBot="1">
      <c r="B37" s="67" t="s">
        <v>664</v>
      </c>
      <c r="C37" s="65" t="s">
        <v>661</v>
      </c>
      <c r="D37" s="44"/>
      <c r="E37" s="174"/>
    </row>
    <row r="38" spans="2:5" ht="32.25" hidden="1" thickBot="1">
      <c r="B38" s="67" t="s">
        <v>671</v>
      </c>
      <c r="C38" s="65" t="s">
        <v>661</v>
      </c>
      <c r="D38" s="72"/>
      <c r="E38" s="239"/>
    </row>
    <row r="39" spans="2:5" ht="78.75" hidden="1" thickBot="1">
      <c r="B39" s="36" t="s">
        <v>790</v>
      </c>
      <c r="C39" s="65" t="s">
        <v>661</v>
      </c>
      <c r="D39" s="44"/>
      <c r="E39" s="174"/>
    </row>
    <row r="40" spans="2:5" ht="48" hidden="1" thickBot="1">
      <c r="B40" s="67" t="s">
        <v>767</v>
      </c>
      <c r="C40" s="64" t="s">
        <v>766</v>
      </c>
      <c r="D40" s="43"/>
      <c r="E40" s="238"/>
    </row>
    <row r="41" spans="2:5" ht="32.25" hidden="1" thickBot="1">
      <c r="B41" s="67" t="s">
        <v>668</v>
      </c>
      <c r="C41" s="65" t="s">
        <v>661</v>
      </c>
      <c r="D41" s="44"/>
      <c r="E41" s="174"/>
    </row>
    <row r="42" spans="2:5" ht="16.5" hidden="1" thickBot="1">
      <c r="B42" s="67" t="s">
        <v>799</v>
      </c>
      <c r="C42" s="65" t="s">
        <v>661</v>
      </c>
      <c r="D42" s="44"/>
      <c r="E42" s="174"/>
    </row>
    <row r="43" spans="2:5" ht="39.75" hidden="1" thickBot="1">
      <c r="B43" s="67" t="s">
        <v>670</v>
      </c>
      <c r="C43" s="64" t="s">
        <v>684</v>
      </c>
      <c r="D43" s="46"/>
      <c r="E43" s="240"/>
    </row>
    <row r="44" spans="2:5" ht="48" hidden="1" thickBot="1">
      <c r="B44" s="68" t="s">
        <v>800</v>
      </c>
      <c r="C44" s="65" t="s">
        <v>661</v>
      </c>
      <c r="D44" s="44"/>
      <c r="E44" s="174"/>
    </row>
    <row r="45" spans="2:5" ht="16.5" thickBot="1">
      <c r="B45" s="69" t="s">
        <v>685</v>
      </c>
      <c r="C45" s="212" t="s">
        <v>817</v>
      </c>
      <c r="D45" s="43" t="s">
        <v>801</v>
      </c>
      <c r="E45" s="231">
        <v>31882.96</v>
      </c>
    </row>
    <row r="46" spans="2:5" ht="32.25" hidden="1" thickBot="1">
      <c r="B46" s="70" t="s">
        <v>802</v>
      </c>
      <c r="C46" s="47"/>
      <c r="D46" s="44"/>
      <c r="E46" s="174"/>
    </row>
    <row r="47" spans="2:5" ht="20.25" thickBot="1">
      <c r="B47" s="14" t="s">
        <v>760</v>
      </c>
      <c r="C47" s="17"/>
      <c r="E47" s="263">
        <f>E62</f>
        <v>271497.9</v>
      </c>
    </row>
    <row r="48" spans="2:5" ht="15.75" thickBot="1">
      <c r="B48" s="150" t="s">
        <v>672</v>
      </c>
      <c r="C48" s="15" t="s">
        <v>920</v>
      </c>
      <c r="D48" s="49" t="s">
        <v>673</v>
      </c>
      <c r="E48" s="176" t="s">
        <v>793</v>
      </c>
    </row>
    <row r="49" spans="2:5" ht="15.75">
      <c r="B49" s="217" t="s">
        <v>816</v>
      </c>
      <c r="C49" s="255" t="s">
        <v>661</v>
      </c>
      <c r="D49" s="149"/>
      <c r="E49" s="266">
        <v>2955.79</v>
      </c>
    </row>
    <row r="50" spans="2:5" ht="15.75">
      <c r="B50" s="188" t="s">
        <v>997</v>
      </c>
      <c r="C50" s="255" t="s">
        <v>661</v>
      </c>
      <c r="D50" s="154"/>
      <c r="E50" s="266">
        <f>4414.06+768.01+11392.04</f>
        <v>16574.11</v>
      </c>
    </row>
    <row r="51" spans="2:5" ht="15.75">
      <c r="B51" s="188" t="s">
        <v>930</v>
      </c>
      <c r="C51" s="255" t="s">
        <v>661</v>
      </c>
      <c r="D51" s="154"/>
      <c r="E51" s="266">
        <v>3883.26</v>
      </c>
    </row>
    <row r="52" spans="2:5" ht="15.75">
      <c r="B52" s="188" t="s">
        <v>1000</v>
      </c>
      <c r="C52" s="255" t="s">
        <v>661</v>
      </c>
      <c r="D52" s="154"/>
      <c r="E52" s="266">
        <v>86675.38</v>
      </c>
    </row>
    <row r="53" spans="2:5" ht="15.75">
      <c r="B53" s="188" t="s">
        <v>989</v>
      </c>
      <c r="C53" s="255" t="s">
        <v>661</v>
      </c>
      <c r="D53" s="154"/>
      <c r="E53" s="266">
        <v>41080.86</v>
      </c>
    </row>
    <row r="54" spans="2:5" ht="14.25">
      <c r="B54" s="151" t="s">
        <v>676</v>
      </c>
      <c r="C54" s="116"/>
      <c r="D54" s="153"/>
      <c r="E54" s="177"/>
    </row>
    <row r="55" spans="2:5" ht="14.25">
      <c r="B55" s="132" t="s">
        <v>883</v>
      </c>
      <c r="C55" s="74" t="s">
        <v>661</v>
      </c>
      <c r="D55" s="153"/>
      <c r="E55" s="179">
        <f>3373.96+47734.74</f>
        <v>51108.7</v>
      </c>
    </row>
    <row r="56" spans="2:5" ht="14.25">
      <c r="B56" s="157" t="s">
        <v>880</v>
      </c>
      <c r="C56" s="74" t="s">
        <v>661</v>
      </c>
      <c r="D56" s="152"/>
      <c r="E56" s="177">
        <v>9537.69</v>
      </c>
    </row>
    <row r="57" spans="2:5" ht="14.25">
      <c r="B57" s="157" t="s">
        <v>925</v>
      </c>
      <c r="C57" s="74" t="s">
        <v>661</v>
      </c>
      <c r="D57" s="152"/>
      <c r="E57" s="177">
        <v>19615.34</v>
      </c>
    </row>
    <row r="58" spans="2:5" ht="15">
      <c r="B58" s="151" t="s">
        <v>1025</v>
      </c>
      <c r="C58" s="118"/>
      <c r="D58" s="152"/>
      <c r="E58" s="220"/>
    </row>
    <row r="59" spans="2:5" ht="14.25">
      <c r="B59" s="159" t="s">
        <v>998</v>
      </c>
      <c r="C59" s="74" t="s">
        <v>661</v>
      </c>
      <c r="D59" s="152"/>
      <c r="E59" s="177">
        <f>37947.07</f>
        <v>37947.07</v>
      </c>
    </row>
    <row r="60" spans="2:5" ht="15">
      <c r="B60" s="159" t="s">
        <v>929</v>
      </c>
      <c r="C60" s="74" t="s">
        <v>661</v>
      </c>
      <c r="D60" s="13"/>
      <c r="E60" s="268">
        <v>2119.7</v>
      </c>
    </row>
    <row r="61" spans="2:5" ht="12.75" hidden="1">
      <c r="B61" s="13"/>
      <c r="C61" s="13"/>
      <c r="D61" s="13"/>
      <c r="E61" s="85"/>
    </row>
    <row r="62" spans="2:5" ht="12.75" hidden="1">
      <c r="B62" s="117" t="s">
        <v>1014</v>
      </c>
      <c r="C62" s="13"/>
      <c r="D62" s="13"/>
      <c r="E62" s="256">
        <f>E49+E55+E56+E59+E60+E57+E50+E51+E52+E53</f>
        <v>271497.9</v>
      </c>
    </row>
    <row r="63" spans="2:5" ht="12.75">
      <c r="B63" s="103"/>
      <c r="C63" s="11"/>
      <c r="D63" s="11"/>
      <c r="E63" s="207"/>
    </row>
    <row r="64" spans="2:5" ht="12.75">
      <c r="B64" s="103"/>
      <c r="C64" s="11"/>
      <c r="D64" s="11"/>
      <c r="E64" s="207"/>
    </row>
    <row r="65" spans="2:5" ht="12.75">
      <c r="B65" s="103"/>
      <c r="C65" s="11"/>
      <c r="D65" s="11"/>
      <c r="E65" s="207"/>
    </row>
    <row r="66" spans="2:5" ht="12.75">
      <c r="B66" s="103"/>
      <c r="C66" s="11"/>
      <c r="D66" s="11"/>
      <c r="E66" s="207"/>
    </row>
    <row r="67" spans="2:5" ht="12.75">
      <c r="B67" s="11"/>
      <c r="C67" s="11"/>
      <c r="D67" s="11"/>
      <c r="E67" s="207"/>
    </row>
    <row r="68" spans="2:5" ht="15.75">
      <c r="B68" s="6" t="s">
        <v>830</v>
      </c>
      <c r="C68" s="6" t="s">
        <v>889</v>
      </c>
      <c r="E68" s="254"/>
    </row>
  </sheetData>
  <sheetProtection/>
  <mergeCells count="15">
    <mergeCell ref="B7:C7"/>
    <mergeCell ref="B9:C10"/>
    <mergeCell ref="B2:C2"/>
    <mergeCell ref="B3:C3"/>
    <mergeCell ref="B4:C4"/>
    <mergeCell ref="B5:C5"/>
    <mergeCell ref="B21:E21"/>
    <mergeCell ref="B12:C12"/>
    <mergeCell ref="B13:C13"/>
    <mergeCell ref="B14:C14"/>
    <mergeCell ref="B17:C17"/>
    <mergeCell ref="B18:C18"/>
    <mergeCell ref="B20:E20"/>
    <mergeCell ref="B15:C15"/>
    <mergeCell ref="B16:C1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99CC"/>
  </sheetPr>
  <dimension ref="A1:R90"/>
  <sheetViews>
    <sheetView zoomScalePageLayoutView="0" workbookViewId="0" topLeftCell="O2">
      <selection activeCell="U22" sqref="U22"/>
    </sheetView>
  </sheetViews>
  <sheetFormatPr defaultColWidth="9.140625" defaultRowHeight="12.75"/>
  <cols>
    <col min="1" max="1" width="64.421875" style="1" customWidth="1"/>
    <col min="2" max="2" width="9.140625" style="1" customWidth="1"/>
    <col min="3" max="3" width="13.57421875" style="1" customWidth="1"/>
    <col min="4" max="4" width="15.140625" style="1" customWidth="1"/>
    <col min="5" max="6" width="0" style="0" hidden="1" customWidth="1"/>
    <col min="15" max="15" width="64.57421875" style="0" customWidth="1"/>
    <col min="16" max="16" width="8.57421875" style="0" customWidth="1"/>
    <col min="17" max="17" width="11.7109375" style="0" customWidth="1"/>
    <col min="18" max="18" width="14.7109375" style="0" customWidth="1"/>
  </cols>
  <sheetData>
    <row r="1" spans="1:4" ht="14.25" hidden="1">
      <c r="A1" s="307" t="s">
        <v>54</v>
      </c>
      <c r="B1" s="298" t="s">
        <v>885</v>
      </c>
      <c r="C1" s="318">
        <v>1</v>
      </c>
      <c r="D1" s="302">
        <v>0</v>
      </c>
    </row>
    <row r="2" spans="15:18" ht="12.75">
      <c r="O2" s="1"/>
      <c r="P2" s="1"/>
      <c r="Q2" s="1"/>
      <c r="R2" s="1"/>
    </row>
    <row r="3" spans="15:18" ht="12.75">
      <c r="O3" s="1"/>
      <c r="P3" s="1"/>
      <c r="Q3" s="1"/>
      <c r="R3" s="1"/>
    </row>
    <row r="4" spans="4:18" ht="12.75">
      <c r="D4" s="1" t="s">
        <v>792</v>
      </c>
      <c r="O4" s="1"/>
      <c r="P4" s="1"/>
      <c r="Q4" s="1"/>
      <c r="R4" s="1" t="s">
        <v>792</v>
      </c>
    </row>
    <row r="5" spans="1:18" ht="22.5">
      <c r="A5" s="1331" t="s">
        <v>687</v>
      </c>
      <c r="B5" s="1331"/>
      <c r="C5" s="140"/>
      <c r="D5" s="140"/>
      <c r="O5" s="1331" t="s">
        <v>687</v>
      </c>
      <c r="P5" s="1331"/>
      <c r="Q5" s="140"/>
      <c r="R5" s="140"/>
    </row>
    <row r="6" spans="1:18" ht="15.75">
      <c r="A6" s="1363" t="s">
        <v>497</v>
      </c>
      <c r="B6" s="1363"/>
      <c r="C6" s="91"/>
      <c r="D6" s="91"/>
      <c r="O6" s="1363" t="s">
        <v>497</v>
      </c>
      <c r="P6" s="1363"/>
      <c r="Q6" s="91"/>
      <c r="R6" s="91"/>
    </row>
    <row r="7" spans="1:18" ht="15.75">
      <c r="A7" s="1363" t="s">
        <v>641</v>
      </c>
      <c r="B7" s="1363"/>
      <c r="C7" s="91"/>
      <c r="D7" s="91"/>
      <c r="O7" s="1363" t="s">
        <v>641</v>
      </c>
      <c r="P7" s="1363"/>
      <c r="Q7" s="91"/>
      <c r="R7" s="91"/>
    </row>
    <row r="8" spans="1:18" ht="15.75">
      <c r="A8" s="1363" t="s">
        <v>804</v>
      </c>
      <c r="B8" s="1363"/>
      <c r="C8" s="91"/>
      <c r="D8" s="91"/>
      <c r="O8" s="1363" t="s">
        <v>804</v>
      </c>
      <c r="P8" s="1363"/>
      <c r="Q8" s="91"/>
      <c r="R8" s="91"/>
    </row>
    <row r="9" spans="1:18" ht="18.75">
      <c r="A9" s="26"/>
      <c r="B9" s="26"/>
      <c r="C9"/>
      <c r="O9" s="26"/>
      <c r="P9" s="26"/>
      <c r="R9" s="1"/>
    </row>
    <row r="10" spans="1:18" ht="15">
      <c r="A10" s="1343" t="s">
        <v>919</v>
      </c>
      <c r="B10" s="1343"/>
      <c r="C10" s="139"/>
      <c r="D10" s="139"/>
      <c r="O10" s="1343" t="s">
        <v>982</v>
      </c>
      <c r="P10" s="1343"/>
      <c r="Q10" s="139"/>
      <c r="R10" s="139"/>
    </row>
    <row r="11" spans="1:18" ht="15">
      <c r="A11" s="324"/>
      <c r="B11" s="324"/>
      <c r="C11" s="139"/>
      <c r="D11" s="139"/>
      <c r="O11" s="324"/>
      <c r="P11" s="324"/>
      <c r="Q11" s="139"/>
      <c r="R11" s="139"/>
    </row>
    <row r="12" spans="1:18" ht="12.75" customHeight="1">
      <c r="A12" s="1366" t="s">
        <v>642</v>
      </c>
      <c r="B12" s="1367"/>
      <c r="C12" s="1366" t="s">
        <v>895</v>
      </c>
      <c r="D12" s="1367"/>
      <c r="O12" s="1366" t="s">
        <v>642</v>
      </c>
      <c r="P12" s="1367"/>
      <c r="Q12" s="1366" t="s">
        <v>895</v>
      </c>
      <c r="R12" s="1367"/>
    </row>
    <row r="13" spans="1:18" ht="12.75">
      <c r="A13" s="1368"/>
      <c r="B13" s="1369"/>
      <c r="C13" s="1368"/>
      <c r="D13" s="1369"/>
      <c r="O13" s="1368"/>
      <c r="P13" s="1369"/>
      <c r="Q13" s="1368"/>
      <c r="R13" s="1369"/>
    </row>
    <row r="14" spans="1:18" ht="15">
      <c r="A14" s="372" t="s">
        <v>347</v>
      </c>
      <c r="B14" s="472"/>
      <c r="C14" s="1318">
        <v>167414.34</v>
      </c>
      <c r="D14" s="1319"/>
      <c r="O14" s="372" t="s">
        <v>347</v>
      </c>
      <c r="P14" s="472"/>
      <c r="Q14" s="1370">
        <v>167414.34</v>
      </c>
      <c r="R14" s="1371"/>
    </row>
    <row r="15" spans="1:18" ht="15">
      <c r="A15" s="471" t="s">
        <v>486</v>
      </c>
      <c r="B15" s="473"/>
      <c r="C15" s="1336">
        <v>943723.8</v>
      </c>
      <c r="D15" s="1337"/>
      <c r="O15" s="471" t="s">
        <v>486</v>
      </c>
      <c r="P15" s="473"/>
      <c r="Q15" s="1316">
        <v>943723.8</v>
      </c>
      <c r="R15" s="1317"/>
    </row>
    <row r="16" spans="1:18" ht="15">
      <c r="A16" s="470" t="s">
        <v>647</v>
      </c>
      <c r="B16" s="474"/>
      <c r="C16" s="1338">
        <v>927917.96</v>
      </c>
      <c r="D16" s="1339"/>
      <c r="O16" s="470" t="s">
        <v>647</v>
      </c>
      <c r="P16" s="474"/>
      <c r="Q16" s="1338">
        <v>927917.96</v>
      </c>
      <c r="R16" s="1339"/>
    </row>
    <row r="17" spans="1:18" ht="15">
      <c r="A17" s="475" t="s">
        <v>348</v>
      </c>
      <c r="B17" s="476"/>
      <c r="C17" s="1318">
        <f>C14+C15-C16</f>
        <v>183220.18000000017</v>
      </c>
      <c r="D17" s="1319"/>
      <c r="O17" s="475" t="s">
        <v>348</v>
      </c>
      <c r="P17" s="476"/>
      <c r="Q17" s="1318">
        <v>183220.18</v>
      </c>
      <c r="R17" s="1319"/>
    </row>
    <row r="18" spans="1:18" ht="15">
      <c r="A18" s="470" t="s">
        <v>540</v>
      </c>
      <c r="B18" s="474"/>
      <c r="C18" s="1438"/>
      <c r="D18" s="1439"/>
      <c r="O18" s="470" t="s">
        <v>539</v>
      </c>
      <c r="P18" s="474"/>
      <c r="Q18" s="1334">
        <v>757144.32</v>
      </c>
      <c r="R18" s="1335"/>
    </row>
    <row r="19" spans="1:18" ht="12.75">
      <c r="A19" s="82"/>
      <c r="B19" s="83"/>
      <c r="C19" s="83"/>
      <c r="D19" s="83"/>
      <c r="O19" s="82"/>
      <c r="P19" s="83"/>
      <c r="Q19" s="83"/>
      <c r="R19" s="83"/>
    </row>
    <row r="20" spans="2:18" ht="12.75">
      <c r="B20" s="83"/>
      <c r="C20" s="81"/>
      <c r="D20" s="314"/>
      <c r="O20" s="1"/>
      <c r="P20" s="83"/>
      <c r="Q20" s="81"/>
      <c r="R20" s="314"/>
    </row>
    <row r="21" spans="1:18" ht="15.75">
      <c r="A21" s="1340" t="s">
        <v>650</v>
      </c>
      <c r="B21" s="1340"/>
      <c r="C21" s="1340"/>
      <c r="D21" s="1340"/>
      <c r="O21" s="1340" t="s">
        <v>650</v>
      </c>
      <c r="P21" s="1340"/>
      <c r="Q21" s="1340"/>
      <c r="R21" s="1340"/>
    </row>
    <row r="22" spans="1:18" ht="15.75">
      <c r="A22" s="1340" t="s">
        <v>346</v>
      </c>
      <c r="B22" s="1340"/>
      <c r="C22" s="1340"/>
      <c r="D22" s="1340"/>
      <c r="O22" s="1340" t="s">
        <v>346</v>
      </c>
      <c r="P22" s="1340"/>
      <c r="Q22" s="1340"/>
      <c r="R22" s="1340"/>
    </row>
    <row r="23" spans="1:18" ht="12.75">
      <c r="A23" s="82"/>
      <c r="B23" s="82"/>
      <c r="C23" s="103"/>
      <c r="D23" s="82"/>
      <c r="O23" s="82"/>
      <c r="P23" s="82"/>
      <c r="Q23" s="103"/>
      <c r="R23" s="82"/>
    </row>
    <row r="24" spans="1:18" ht="25.5" customHeight="1" thickBot="1">
      <c r="A24" s="501" t="s">
        <v>892</v>
      </c>
      <c r="B24" s="502" t="s">
        <v>667</v>
      </c>
      <c r="C24" s="499" t="s">
        <v>673</v>
      </c>
      <c r="D24" s="503" t="s">
        <v>793</v>
      </c>
      <c r="O24" s="501" t="s">
        <v>892</v>
      </c>
      <c r="P24" s="502" t="s">
        <v>667</v>
      </c>
      <c r="Q24" s="499" t="s">
        <v>673</v>
      </c>
      <c r="R24" s="503" t="s">
        <v>793</v>
      </c>
    </row>
    <row r="25" spans="1:18" ht="18.75" customHeight="1" thickBot="1">
      <c r="A25" s="477" t="s">
        <v>117</v>
      </c>
      <c r="B25" s="504"/>
      <c r="C25" s="456"/>
      <c r="D25" s="524"/>
      <c r="O25" s="477" t="s">
        <v>913</v>
      </c>
      <c r="P25" s="504"/>
      <c r="Q25" s="456"/>
      <c r="R25" s="676"/>
    </row>
    <row r="26" spans="1:18" ht="24.75" customHeight="1">
      <c r="A26" s="546" t="s">
        <v>105</v>
      </c>
      <c r="B26" s="637" t="s">
        <v>652</v>
      </c>
      <c r="C26" s="536"/>
      <c r="D26" s="528"/>
      <c r="O26" s="546" t="s">
        <v>105</v>
      </c>
      <c r="P26" s="637" t="s">
        <v>652</v>
      </c>
      <c r="Q26" s="536"/>
      <c r="R26" s="528">
        <v>192816.8</v>
      </c>
    </row>
    <row r="27" spans="1:18" ht="19.5" customHeight="1">
      <c r="A27" s="492" t="s">
        <v>669</v>
      </c>
      <c r="B27" s="394" t="s">
        <v>115</v>
      </c>
      <c r="C27" s="405"/>
      <c r="D27" s="507"/>
      <c r="O27" s="492" t="s">
        <v>654</v>
      </c>
      <c r="P27" s="398" t="s">
        <v>656</v>
      </c>
      <c r="Q27" s="398" t="s">
        <v>801</v>
      </c>
      <c r="R27" s="509">
        <v>112968.04</v>
      </c>
    </row>
    <row r="28" spans="1:18" ht="23.25" customHeight="1">
      <c r="A28" s="492" t="s">
        <v>114</v>
      </c>
      <c r="B28" s="391" t="s">
        <v>69</v>
      </c>
      <c r="C28" s="398"/>
      <c r="D28" s="509"/>
      <c r="O28" s="675" t="s">
        <v>288</v>
      </c>
      <c r="P28" s="397" t="s">
        <v>657</v>
      </c>
      <c r="Q28" s="506"/>
      <c r="R28" s="507">
        <v>141224.69</v>
      </c>
    </row>
    <row r="29" spans="1:18" ht="18" customHeight="1">
      <c r="A29" s="492"/>
      <c r="B29" s="391"/>
      <c r="C29" s="398"/>
      <c r="D29" s="509"/>
      <c r="O29" s="389" t="s">
        <v>931</v>
      </c>
      <c r="P29" s="399" t="s">
        <v>661</v>
      </c>
      <c r="Q29" s="508"/>
      <c r="R29" s="393">
        <v>1594.78</v>
      </c>
    </row>
    <row r="30" spans="1:18" ht="19.5" customHeight="1">
      <c r="A30" s="492" t="s">
        <v>654</v>
      </c>
      <c r="B30" s="398" t="s">
        <v>656</v>
      </c>
      <c r="C30" s="398" t="s">
        <v>801</v>
      </c>
      <c r="D30" s="509"/>
      <c r="O30" s="492" t="s">
        <v>628</v>
      </c>
      <c r="P30" s="399"/>
      <c r="Q30" s="508"/>
      <c r="R30" s="509">
        <v>10030.84</v>
      </c>
    </row>
    <row r="31" spans="1:18" ht="15" customHeight="1" thickBot="1">
      <c r="A31" s="546" t="s">
        <v>495</v>
      </c>
      <c r="B31" s="397" t="s">
        <v>657</v>
      </c>
      <c r="C31" s="506"/>
      <c r="D31" s="507"/>
      <c r="O31" s="413" t="s">
        <v>13</v>
      </c>
      <c r="P31" s="609"/>
      <c r="Q31" s="610"/>
      <c r="R31" s="595">
        <v>9456.99</v>
      </c>
    </row>
    <row r="32" spans="1:18" ht="15.75" customHeight="1" thickBot="1">
      <c r="A32" s="492" t="s">
        <v>496</v>
      </c>
      <c r="B32" s="399" t="s">
        <v>106</v>
      </c>
      <c r="C32" s="508"/>
      <c r="D32" s="509"/>
      <c r="O32" s="805" t="s">
        <v>701</v>
      </c>
      <c r="P32" s="980"/>
      <c r="Q32" s="981"/>
      <c r="R32" s="839">
        <v>468092.14</v>
      </c>
    </row>
    <row r="33" spans="1:18" ht="25.5" thickBot="1">
      <c r="A33" s="492" t="s">
        <v>107</v>
      </c>
      <c r="B33" s="399" t="s">
        <v>108</v>
      </c>
      <c r="C33" s="508"/>
      <c r="D33" s="509"/>
      <c r="O33" s="487" t="s">
        <v>914</v>
      </c>
      <c r="P33" s="461"/>
      <c r="Q33" s="462"/>
      <c r="R33" s="463"/>
    </row>
    <row r="34" spans="1:18" ht="24">
      <c r="A34" s="492" t="s">
        <v>233</v>
      </c>
      <c r="B34" s="399" t="s">
        <v>661</v>
      </c>
      <c r="C34" s="508"/>
      <c r="D34" s="509"/>
      <c r="G34" t="s">
        <v>465</v>
      </c>
      <c r="O34" s="943" t="s">
        <v>194</v>
      </c>
      <c r="P34" s="514" t="s">
        <v>920</v>
      </c>
      <c r="Q34" s="515" t="s">
        <v>673</v>
      </c>
      <c r="R34" s="516" t="s">
        <v>793</v>
      </c>
    </row>
    <row r="35" spans="1:18" ht="24.75">
      <c r="A35" s="492" t="s">
        <v>467</v>
      </c>
      <c r="B35" s="399" t="s">
        <v>108</v>
      </c>
      <c r="C35" s="508"/>
      <c r="D35" s="509"/>
      <c r="O35" s="383" t="s">
        <v>1013</v>
      </c>
      <c r="P35" s="514"/>
      <c r="Q35" s="443">
        <v>1</v>
      </c>
      <c r="R35" s="434">
        <v>5553.02</v>
      </c>
    </row>
    <row r="36" spans="1:18" ht="15">
      <c r="A36" s="369" t="s">
        <v>60</v>
      </c>
      <c r="B36" s="365" t="s">
        <v>817</v>
      </c>
      <c r="C36" s="602">
        <v>1</v>
      </c>
      <c r="D36" s="434"/>
      <c r="O36" s="383" t="s">
        <v>11</v>
      </c>
      <c r="P36" s="570"/>
      <c r="Q36" s="1294"/>
      <c r="R36" s="434">
        <v>20871.11</v>
      </c>
    </row>
    <row r="37" spans="1:18" ht="15.75" thickBot="1">
      <c r="A37" s="383" t="s">
        <v>1016</v>
      </c>
      <c r="B37" s="365" t="s">
        <v>817</v>
      </c>
      <c r="C37" s="602">
        <v>2</v>
      </c>
      <c r="D37" s="434"/>
      <c r="O37" s="807" t="s">
        <v>953</v>
      </c>
      <c r="P37" s="721"/>
      <c r="Q37" s="922">
        <v>2</v>
      </c>
      <c r="R37" s="1064">
        <v>3880.93</v>
      </c>
    </row>
    <row r="38" spans="1:18" ht="15.75" thickBot="1">
      <c r="A38" s="384" t="s">
        <v>99</v>
      </c>
      <c r="B38" s="365"/>
      <c r="C38" s="421"/>
      <c r="D38" s="532"/>
      <c r="O38" s="806" t="s">
        <v>701</v>
      </c>
      <c r="P38" s="811"/>
      <c r="Q38" s="1295"/>
      <c r="R38" s="1138">
        <v>30305.06</v>
      </c>
    </row>
    <row r="39" spans="1:18" ht="18" customHeight="1">
      <c r="A39" s="465" t="s">
        <v>676</v>
      </c>
      <c r="B39" s="756"/>
      <c r="C39" s="421"/>
      <c r="D39" s="421"/>
      <c r="O39" s="1045" t="s">
        <v>445</v>
      </c>
      <c r="P39" s="1042"/>
      <c r="Q39" s="1294"/>
      <c r="R39" s="1044"/>
    </row>
    <row r="40" spans="1:18" ht="18.75" customHeight="1">
      <c r="A40" s="377" t="s">
        <v>324</v>
      </c>
      <c r="B40" s="365" t="s">
        <v>211</v>
      </c>
      <c r="C40" s="421">
        <v>4</v>
      </c>
      <c r="D40" s="422"/>
      <c r="O40" s="389" t="s">
        <v>393</v>
      </c>
      <c r="P40" s="747"/>
      <c r="Q40" s="601">
        <v>4</v>
      </c>
      <c r="R40" s="1044">
        <v>3301.55</v>
      </c>
    </row>
    <row r="41" spans="1:18" ht="18.75" customHeight="1">
      <c r="A41" s="377"/>
      <c r="B41" s="365"/>
      <c r="C41" s="421"/>
      <c r="D41" s="422"/>
      <c r="O41" s="389" t="s">
        <v>378</v>
      </c>
      <c r="P41" s="747"/>
      <c r="Q41" s="601">
        <v>1</v>
      </c>
      <c r="R41" s="1044">
        <v>26603</v>
      </c>
    </row>
    <row r="42" spans="1:18" ht="17.25" customHeight="1">
      <c r="A42" s="377" t="s">
        <v>318</v>
      </c>
      <c r="B42" s="365" t="s">
        <v>211</v>
      </c>
      <c r="C42" s="421">
        <v>1</v>
      </c>
      <c r="D42" s="422"/>
      <c r="O42" s="389" t="s">
        <v>239</v>
      </c>
      <c r="P42" s="747" t="s">
        <v>40</v>
      </c>
      <c r="Q42" s="601">
        <v>3</v>
      </c>
      <c r="R42" s="1044">
        <v>3045.1</v>
      </c>
    </row>
    <row r="43" spans="1:18" ht="16.5" customHeight="1">
      <c r="A43" s="359" t="s">
        <v>221</v>
      </c>
      <c r="B43" s="365" t="s">
        <v>478</v>
      </c>
      <c r="C43" s="421">
        <v>1</v>
      </c>
      <c r="D43" s="555"/>
      <c r="O43" s="389" t="s">
        <v>289</v>
      </c>
      <c r="P43" s="747" t="s">
        <v>211</v>
      </c>
      <c r="Q43" s="601">
        <v>1</v>
      </c>
      <c r="R43" s="1044">
        <v>3876.68</v>
      </c>
    </row>
    <row r="44" spans="1:18" ht="15.75" customHeight="1" thickBot="1">
      <c r="A44" s="359" t="s">
        <v>239</v>
      </c>
      <c r="B44" s="365" t="s">
        <v>478</v>
      </c>
      <c r="C44" s="421">
        <v>3</v>
      </c>
      <c r="D44" s="555"/>
      <c r="O44" s="389" t="s">
        <v>704</v>
      </c>
      <c r="P44" s="747" t="s">
        <v>40</v>
      </c>
      <c r="Q44" s="601">
        <v>4</v>
      </c>
      <c r="R44" s="1044">
        <v>1070.49</v>
      </c>
    </row>
    <row r="45" spans="1:18" ht="15.75" thickBot="1">
      <c r="A45" s="359" t="s">
        <v>479</v>
      </c>
      <c r="B45" s="365" t="s">
        <v>52</v>
      </c>
      <c r="C45" s="421">
        <v>2</v>
      </c>
      <c r="D45" s="424"/>
      <c r="O45" s="806" t="s">
        <v>701</v>
      </c>
      <c r="P45" s="811"/>
      <c r="Q45" s="898"/>
      <c r="R45" s="858">
        <v>37896.82</v>
      </c>
    </row>
    <row r="46" spans="1:18" ht="15">
      <c r="A46" s="389" t="s">
        <v>770</v>
      </c>
      <c r="B46" s="746" t="s">
        <v>661</v>
      </c>
      <c r="C46" s="400"/>
      <c r="D46" s="393"/>
      <c r="O46" s="465" t="s">
        <v>780</v>
      </c>
      <c r="P46" s="800"/>
      <c r="Q46" s="1182"/>
      <c r="R46" s="441"/>
    </row>
    <row r="47" spans="1:18" ht="15">
      <c r="A47" s="389"/>
      <c r="B47" s="746"/>
      <c r="C47" s="400"/>
      <c r="D47" s="595"/>
      <c r="O47" s="377" t="s">
        <v>197</v>
      </c>
      <c r="P47" s="800"/>
      <c r="Q47" s="1182">
        <v>4</v>
      </c>
      <c r="R47" s="801">
        <v>1931.3</v>
      </c>
    </row>
    <row r="48" spans="1:18" ht="15">
      <c r="A48" s="359" t="s">
        <v>897</v>
      </c>
      <c r="B48" s="365" t="s">
        <v>478</v>
      </c>
      <c r="C48" s="421">
        <v>4</v>
      </c>
      <c r="D48" s="424"/>
      <c r="O48" s="377" t="s">
        <v>174</v>
      </c>
      <c r="P48" s="365" t="s">
        <v>40</v>
      </c>
      <c r="Q48" s="601">
        <v>3</v>
      </c>
      <c r="R48" s="422">
        <v>3954.54</v>
      </c>
    </row>
    <row r="49" spans="1:18" ht="15.75" thickBot="1">
      <c r="A49" s="359" t="s">
        <v>177</v>
      </c>
      <c r="B49" s="365"/>
      <c r="C49" s="421"/>
      <c r="D49" s="424"/>
      <c r="O49" s="377" t="s">
        <v>983</v>
      </c>
      <c r="P49" s="365" t="s">
        <v>40</v>
      </c>
      <c r="Q49" s="601">
        <v>1</v>
      </c>
      <c r="R49" s="422">
        <v>3310</v>
      </c>
    </row>
    <row r="50" spans="1:18" ht="15.75" thickBot="1">
      <c r="A50" s="359" t="s">
        <v>880</v>
      </c>
      <c r="B50" s="365"/>
      <c r="C50" s="421"/>
      <c r="D50" s="425"/>
      <c r="O50" s="806" t="s">
        <v>701</v>
      </c>
      <c r="P50" s="811"/>
      <c r="Q50" s="898"/>
      <c r="R50" s="533">
        <v>9195.84</v>
      </c>
    </row>
    <row r="51" spans="1:18" ht="15">
      <c r="A51" s="359" t="s">
        <v>183</v>
      </c>
      <c r="B51" s="365"/>
      <c r="C51" s="421"/>
      <c r="D51" s="425"/>
      <c r="O51" s="808" t="s">
        <v>424</v>
      </c>
      <c r="P51" s="570"/>
      <c r="Q51" s="1182"/>
      <c r="R51" s="947"/>
    </row>
    <row r="52" spans="1:18" ht="15">
      <c r="A52" s="359"/>
      <c r="B52" s="365"/>
      <c r="C52" s="421"/>
      <c r="D52" s="425"/>
      <c r="O52" s="359" t="s">
        <v>318</v>
      </c>
      <c r="P52" s="365" t="s">
        <v>211</v>
      </c>
      <c r="Q52" s="601">
        <v>1</v>
      </c>
      <c r="R52" s="532">
        <v>724.62</v>
      </c>
    </row>
    <row r="53" spans="1:18" ht="15">
      <c r="A53" s="359"/>
      <c r="B53" s="365"/>
      <c r="C53" s="421"/>
      <c r="D53" s="425"/>
      <c r="O53" s="359" t="s">
        <v>411</v>
      </c>
      <c r="P53" s="365" t="s">
        <v>40</v>
      </c>
      <c r="Q53" s="601">
        <v>1</v>
      </c>
      <c r="R53" s="532">
        <v>183.49</v>
      </c>
    </row>
    <row r="54" spans="1:18" ht="15.75" thickBot="1">
      <c r="A54" s="359" t="s">
        <v>466</v>
      </c>
      <c r="B54" s="365" t="s">
        <v>478</v>
      </c>
      <c r="C54" s="421">
        <v>1</v>
      </c>
      <c r="D54" s="424"/>
      <c r="O54" s="807" t="s">
        <v>695</v>
      </c>
      <c r="P54" s="758"/>
      <c r="Q54" s="922">
        <v>2</v>
      </c>
      <c r="R54" s="425">
        <v>801.02</v>
      </c>
    </row>
    <row r="55" spans="1:18" ht="15.75" thickBot="1">
      <c r="A55" s="359" t="s">
        <v>543</v>
      </c>
      <c r="B55" s="365" t="s">
        <v>661</v>
      </c>
      <c r="C55" s="427"/>
      <c r="D55" s="439"/>
      <c r="O55" s="806" t="s">
        <v>701</v>
      </c>
      <c r="P55" s="811"/>
      <c r="Q55" s="898"/>
      <c r="R55" s="841">
        <v>1709.13</v>
      </c>
    </row>
    <row r="56" spans="1:18" ht="15">
      <c r="A56" s="359" t="s">
        <v>536</v>
      </c>
      <c r="B56" s="365" t="s">
        <v>661</v>
      </c>
      <c r="C56" s="427"/>
      <c r="D56" s="421"/>
      <c r="O56" s="808" t="s">
        <v>425</v>
      </c>
      <c r="P56" s="570"/>
      <c r="Q56" s="1182"/>
      <c r="R56" s="896"/>
    </row>
    <row r="57" spans="1:18" ht="15">
      <c r="A57" s="465" t="s">
        <v>1025</v>
      </c>
      <c r="B57" s="757"/>
      <c r="C57" s="427"/>
      <c r="D57" s="428"/>
      <c r="O57" s="359" t="s">
        <v>479</v>
      </c>
      <c r="P57" s="365" t="s">
        <v>52</v>
      </c>
      <c r="Q57" s="601">
        <v>4</v>
      </c>
      <c r="R57" s="425">
        <v>3654.24</v>
      </c>
    </row>
    <row r="58" spans="1:18" ht="15">
      <c r="A58" s="387" t="s">
        <v>541</v>
      </c>
      <c r="B58" s="365"/>
      <c r="C58" s="427"/>
      <c r="D58" s="421"/>
      <c r="O58" s="359" t="s">
        <v>1020</v>
      </c>
      <c r="P58" s="365" t="s">
        <v>478</v>
      </c>
      <c r="Q58" s="601">
        <v>1</v>
      </c>
      <c r="R58" s="424">
        <v>369.69</v>
      </c>
    </row>
    <row r="59" spans="1:18" ht="15.75" thickBot="1">
      <c r="A59" s="387" t="s">
        <v>886</v>
      </c>
      <c r="B59" s="365" t="s">
        <v>478</v>
      </c>
      <c r="C59" s="427">
        <v>7</v>
      </c>
      <c r="D59" s="532"/>
      <c r="O59" s="359" t="s">
        <v>882</v>
      </c>
      <c r="P59" s="365"/>
      <c r="Q59" s="601">
        <v>9</v>
      </c>
      <c r="R59" s="424">
        <v>7609.15</v>
      </c>
    </row>
    <row r="60" spans="1:18" ht="16.5" thickBot="1">
      <c r="A60" s="71"/>
      <c r="B60" s="11"/>
      <c r="C60" s="11"/>
      <c r="D60" s="11"/>
      <c r="O60" s="806" t="s">
        <v>701</v>
      </c>
      <c r="P60" s="811"/>
      <c r="Q60" s="803"/>
      <c r="R60" s="533">
        <v>11633.08</v>
      </c>
    </row>
    <row r="61" spans="1:18" ht="15.75">
      <c r="A61" s="419" t="s">
        <v>830</v>
      </c>
      <c r="B61"/>
      <c r="C61" s="419" t="s">
        <v>769</v>
      </c>
      <c r="D61" s="11"/>
      <c r="O61" s="890" t="s">
        <v>386</v>
      </c>
      <c r="P61" s="570"/>
      <c r="Q61" s="441"/>
      <c r="R61" s="598"/>
    </row>
    <row r="62" spans="1:18" ht="15.75">
      <c r="A62" s="419"/>
      <c r="B62"/>
      <c r="C62" s="419"/>
      <c r="D62" s="11"/>
      <c r="O62" s="387" t="s">
        <v>886</v>
      </c>
      <c r="P62" s="365" t="s">
        <v>40</v>
      </c>
      <c r="Q62" s="421">
        <v>9</v>
      </c>
      <c r="R62" s="532">
        <v>3712.26</v>
      </c>
    </row>
    <row r="63" spans="1:18" ht="15.75">
      <c r="A63" s="419"/>
      <c r="B63"/>
      <c r="C63" s="419"/>
      <c r="D63" s="11"/>
      <c r="O63" s="387" t="s">
        <v>113</v>
      </c>
      <c r="P63" s="365" t="s">
        <v>40</v>
      </c>
      <c r="Q63" s="421">
        <v>1</v>
      </c>
      <c r="R63" s="532">
        <v>393.97</v>
      </c>
    </row>
    <row r="64" spans="1:18" ht="15.75">
      <c r="A64" s="419"/>
      <c r="B64"/>
      <c r="C64" s="419"/>
      <c r="D64" s="11"/>
      <c r="O64" s="387" t="s">
        <v>984</v>
      </c>
      <c r="P64" s="365" t="s">
        <v>40</v>
      </c>
      <c r="Q64" s="421">
        <v>1</v>
      </c>
      <c r="R64" s="532">
        <v>1195.6</v>
      </c>
    </row>
    <row r="65" spans="15:18" ht="15.75" thickBot="1">
      <c r="O65" s="526" t="s">
        <v>402</v>
      </c>
      <c r="P65" s="758"/>
      <c r="Q65" s="439">
        <v>4</v>
      </c>
      <c r="R65" s="541">
        <v>2471.32</v>
      </c>
    </row>
    <row r="66" spans="15:18" ht="15.75" thickBot="1">
      <c r="O66" s="806" t="s">
        <v>701</v>
      </c>
      <c r="P66" s="811"/>
      <c r="Q66" s="803"/>
      <c r="R66" s="858">
        <v>7773.15</v>
      </c>
    </row>
    <row r="67" spans="15:18" ht="15.75" thickBot="1">
      <c r="O67" s="807"/>
      <c r="P67" s="758"/>
      <c r="Q67" s="439"/>
      <c r="R67" s="541"/>
    </row>
    <row r="68" spans="15:18" ht="15.75" thickBot="1">
      <c r="O68" s="806" t="s">
        <v>282</v>
      </c>
      <c r="P68" s="811"/>
      <c r="Q68" s="803"/>
      <c r="R68" s="533">
        <v>98513.08</v>
      </c>
    </row>
    <row r="69" spans="15:18" ht="15">
      <c r="O69" s="377"/>
      <c r="P69" s="570"/>
      <c r="Q69" s="441"/>
      <c r="R69" s="810"/>
    </row>
    <row r="70" spans="15:18" ht="15">
      <c r="O70" s="944" t="s">
        <v>743</v>
      </c>
      <c r="P70" s="365"/>
      <c r="Q70" s="431"/>
      <c r="R70" s="1089">
        <v>41831.3</v>
      </c>
    </row>
    <row r="71" spans="15:18" ht="15">
      <c r="O71" s="808" t="s">
        <v>376</v>
      </c>
      <c r="P71" s="757"/>
      <c r="Q71" s="427"/>
      <c r="R71" s="428">
        <v>8874</v>
      </c>
    </row>
    <row r="72" spans="15:18" ht="15">
      <c r="O72" s="955" t="s">
        <v>735</v>
      </c>
      <c r="P72" s="365"/>
      <c r="Q72" s="427"/>
      <c r="R72" s="869">
        <v>139833.8</v>
      </c>
    </row>
    <row r="73" spans="15:18" ht="15.75" thickBot="1">
      <c r="O73" s="526"/>
      <c r="P73" s="758"/>
      <c r="Q73" s="435"/>
      <c r="R73" s="541"/>
    </row>
    <row r="74" spans="15:18" ht="15.75" thickBot="1">
      <c r="O74" s="806" t="s">
        <v>918</v>
      </c>
      <c r="P74" s="957"/>
      <c r="Q74" s="907"/>
      <c r="R74" s="858">
        <v>757144.32</v>
      </c>
    </row>
    <row r="75" spans="15:18" ht="15">
      <c r="O75" s="370"/>
      <c r="P75" s="370"/>
      <c r="Q75" s="370"/>
      <c r="R75" s="371"/>
    </row>
    <row r="76" spans="15:18" ht="15">
      <c r="O76" s="370"/>
      <c r="P76" s="370"/>
      <c r="Q76" s="370"/>
      <c r="R76" s="371"/>
    </row>
    <row r="77" spans="15:18" ht="14.25">
      <c r="O77" s="764"/>
      <c r="P77" s="358"/>
      <c r="Q77" s="359"/>
      <c r="R77" s="1262"/>
    </row>
    <row r="78" spans="15:18" ht="15">
      <c r="O78" s="1251" t="s">
        <v>568</v>
      </c>
      <c r="P78" s="1257"/>
      <c r="Q78" s="467"/>
      <c r="R78" s="467">
        <v>0</v>
      </c>
    </row>
    <row r="79" spans="15:18" ht="15">
      <c r="O79" s="1332" t="s">
        <v>569</v>
      </c>
      <c r="P79" s="1332"/>
      <c r="Q79" s="628"/>
      <c r="R79" s="608">
        <v>927917.96</v>
      </c>
    </row>
    <row r="80" spans="15:18" ht="15">
      <c r="O80" s="1332" t="s">
        <v>570</v>
      </c>
      <c r="P80" s="1332"/>
      <c r="Q80" s="607"/>
      <c r="R80" s="608">
        <v>757144.32</v>
      </c>
    </row>
    <row r="81" spans="15:18" ht="15">
      <c r="O81" s="1333" t="s">
        <v>571</v>
      </c>
      <c r="P81" s="1333"/>
      <c r="Q81" s="629"/>
      <c r="R81" s="629">
        <v>-170773.64</v>
      </c>
    </row>
    <row r="82" spans="15:18" ht="15">
      <c r="O82" s="1332" t="s">
        <v>179</v>
      </c>
      <c r="P82" s="1332"/>
      <c r="Q82" s="1258"/>
      <c r="R82" s="630">
        <v>-170773.64</v>
      </c>
    </row>
    <row r="83" spans="15:18" ht="15">
      <c r="O83" s="538"/>
      <c r="P83" s="538"/>
      <c r="Q83" s="1259"/>
      <c r="R83" s="1260"/>
    </row>
    <row r="84" spans="15:18" ht="15">
      <c r="O84" s="538"/>
      <c r="P84" s="538"/>
      <c r="Q84" s="1259"/>
      <c r="R84" s="1260"/>
    </row>
    <row r="85" spans="15:18" ht="15">
      <c r="O85" s="538"/>
      <c r="P85" s="538"/>
      <c r="Q85" s="1259"/>
      <c r="R85" s="1260"/>
    </row>
    <row r="86" spans="15:18" ht="15">
      <c r="O86" s="538" t="s">
        <v>180</v>
      </c>
      <c r="P86" s="538"/>
      <c r="Q86" s="1259" t="s">
        <v>573</v>
      </c>
      <c r="R86" s="1260"/>
    </row>
    <row r="87" spans="15:18" ht="15">
      <c r="O87" s="538"/>
      <c r="P87" s="538"/>
      <c r="Q87" s="1259"/>
      <c r="R87" s="1260"/>
    </row>
    <row r="88" spans="15:18" ht="12.75">
      <c r="O88" s="735" t="s">
        <v>357</v>
      </c>
      <c r="P88" s="1"/>
      <c r="Q88" s="1"/>
      <c r="R88" s="1"/>
    </row>
    <row r="89" spans="15:18" ht="12.75">
      <c r="O89" s="735" t="s">
        <v>906</v>
      </c>
      <c r="P89" s="1"/>
      <c r="Q89" s="1"/>
      <c r="R89" s="1"/>
    </row>
    <row r="90" spans="15:18" ht="12.75">
      <c r="O90" s="735" t="s">
        <v>358</v>
      </c>
      <c r="P90" s="1"/>
      <c r="Q90" s="1"/>
      <c r="R90" s="1"/>
    </row>
  </sheetData>
  <sheetProtection/>
  <mergeCells count="32">
    <mergeCell ref="A21:D21"/>
    <mergeCell ref="A22:D22"/>
    <mergeCell ref="C15:D15"/>
    <mergeCell ref="C16:D16"/>
    <mergeCell ref="C17:D17"/>
    <mergeCell ref="C18:D18"/>
    <mergeCell ref="A5:B5"/>
    <mergeCell ref="A6:B6"/>
    <mergeCell ref="A7:B7"/>
    <mergeCell ref="A8:B8"/>
    <mergeCell ref="A10:B10"/>
    <mergeCell ref="A12:B13"/>
    <mergeCell ref="C12:D13"/>
    <mergeCell ref="C14:D14"/>
    <mergeCell ref="O5:P5"/>
    <mergeCell ref="O6:P6"/>
    <mergeCell ref="O7:P7"/>
    <mergeCell ref="O8:P8"/>
    <mergeCell ref="O10:P10"/>
    <mergeCell ref="O12:P13"/>
    <mergeCell ref="Q12:R13"/>
    <mergeCell ref="Q14:R14"/>
    <mergeCell ref="O21:R21"/>
    <mergeCell ref="O22:R22"/>
    <mergeCell ref="Q15:R15"/>
    <mergeCell ref="Q16:R16"/>
    <mergeCell ref="Q17:R17"/>
    <mergeCell ref="Q18:R18"/>
    <mergeCell ref="O79:P79"/>
    <mergeCell ref="O80:P80"/>
    <mergeCell ref="O81:P81"/>
    <mergeCell ref="O82:P82"/>
  </mergeCells>
  <printOptions/>
  <pageMargins left="0.1968503937007874" right="0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2015-04-01T01:33:35Z</cp:lastPrinted>
  <dcterms:created xsi:type="dcterms:W3CDTF">1996-10-08T23:32:33Z</dcterms:created>
  <dcterms:modified xsi:type="dcterms:W3CDTF">2015-04-01T02:46:32Z</dcterms:modified>
  <cp:category/>
  <cp:version/>
  <cp:contentType/>
  <cp:contentStatus/>
</cp:coreProperties>
</file>