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30" tabRatio="700" firstSheet="5" activeTab="5"/>
  </bookViews>
  <sheets>
    <sheet name="2005дом" sheetId="1" state="hidden" r:id="rId1"/>
    <sheet name="1кв2006дом" sheetId="2" state="hidden" r:id="rId2"/>
    <sheet name="9мес06дом" sheetId="3" state="hidden" r:id="rId3"/>
    <sheet name="Бюджет дома" sheetId="4" state="hidden" r:id="rId4"/>
    <sheet name="Бюджет дома (2)" sheetId="5" state="hidden" r:id="rId5"/>
    <sheet name="1" sheetId="6" r:id="rId6"/>
    <sheet name="дизельгенератор" sheetId="7" state="hidden" r:id="rId7"/>
    <sheet name="Водопотребление" sheetId="8" state="hidden" r:id="rId8"/>
    <sheet name="Доходы" sheetId="9" state="hidden" r:id="rId9"/>
    <sheet name="Стоянка 2005" sheetId="10" state="hidden" r:id="rId10"/>
    <sheet name="Стоянка 8 мес06" sheetId="11" state="hidden" r:id="rId11"/>
  </sheets>
  <definedNames>
    <definedName name="_xlnm.Print_Titles" localSheetId="8">'Доходы'!$7:$10</definedName>
    <definedName name="_xlnm.Print_Area" localSheetId="8">'Доходы'!$A$1:$O$90</definedName>
  </definedNames>
  <calcPr fullCalcOnLoad="1" refMode="R1C1"/>
</workbook>
</file>

<file path=xl/sharedStrings.xml><?xml version="1.0" encoding="utf-8"?>
<sst xmlns="http://schemas.openxmlformats.org/spreadsheetml/2006/main" count="469" uniqueCount="282">
  <si>
    <t xml:space="preserve">Затраты </t>
  </si>
  <si>
    <t>N п/п</t>
  </si>
  <si>
    <t xml:space="preserve">Наименование статей </t>
  </si>
  <si>
    <t>Сумма ,руб</t>
  </si>
  <si>
    <t>г.Южно-Сахалинск , ул.Горького 14б</t>
  </si>
  <si>
    <t>на содержание дома , расположенного по адресу :</t>
  </si>
  <si>
    <t xml:space="preserve">Амортизация основных фондов </t>
  </si>
  <si>
    <t xml:space="preserve">Материалы </t>
  </si>
  <si>
    <t>долевое содержание  ЖЭУ-7</t>
  </si>
  <si>
    <t>Прочие затраты -всего , в т.ч.</t>
  </si>
  <si>
    <t xml:space="preserve">лицензия </t>
  </si>
  <si>
    <t>охрана (услуги ООО "СОБ")</t>
  </si>
  <si>
    <t xml:space="preserve">санитарная экспертиза </t>
  </si>
  <si>
    <t>ИТОГО:</t>
  </si>
  <si>
    <t>Коммунальные услуги (долевое содержание  ЖЭУ-7)</t>
  </si>
  <si>
    <t>ремонт -всего , в т.ч.</t>
  </si>
  <si>
    <t>текущий ремонт жилых помещений  (ООО"СМУ-3")</t>
  </si>
  <si>
    <t>услуги автовышки</t>
  </si>
  <si>
    <t>работы по замене контроллера шлагбаума</t>
  </si>
  <si>
    <t>ремонт генератора (услуги "Марин-Сервис ")</t>
  </si>
  <si>
    <t>хозяйственные расходы -всего , в т.ч.</t>
  </si>
  <si>
    <t>тестирование шлагбаума</t>
  </si>
  <si>
    <t>услуги погрузчика "Хитачи"</t>
  </si>
  <si>
    <t>услуги "Крильон Сервис "</t>
  </si>
  <si>
    <t xml:space="preserve">Топливо </t>
  </si>
  <si>
    <t xml:space="preserve">Электроэнергия </t>
  </si>
  <si>
    <t>6.1</t>
  </si>
  <si>
    <t>6.2</t>
  </si>
  <si>
    <t>6.3</t>
  </si>
  <si>
    <t>6.4</t>
  </si>
  <si>
    <t>6.5</t>
  </si>
  <si>
    <t>6.6</t>
  </si>
  <si>
    <t>Начальник финансово-экономического отдела                            О.В.Грязнова</t>
  </si>
  <si>
    <t>Горохова ,59213</t>
  </si>
  <si>
    <t>за 1 квартал 2006 года</t>
  </si>
  <si>
    <t xml:space="preserve">Коммунальные услуги -всего , в т.ч. </t>
  </si>
  <si>
    <t>плата за пользование водными обьектами</t>
  </si>
  <si>
    <t>вода и канализация ( кв.№7 )</t>
  </si>
  <si>
    <t>Налог на имущество</t>
  </si>
  <si>
    <t>ВСЕГО:</t>
  </si>
  <si>
    <t xml:space="preserve">за 2005 год </t>
  </si>
  <si>
    <t>3.1</t>
  </si>
  <si>
    <t>3.2</t>
  </si>
  <si>
    <t>3.3</t>
  </si>
  <si>
    <t>3.4</t>
  </si>
  <si>
    <t>ЕНВД</t>
  </si>
  <si>
    <t xml:space="preserve">Бюджет </t>
  </si>
  <si>
    <t xml:space="preserve"> содержания  стоянки , расположенной по адресу :</t>
  </si>
  <si>
    <t xml:space="preserve">Доходы от сдачи в аренду стояночных мест </t>
  </si>
  <si>
    <t>Расходы -всего , из них :</t>
  </si>
  <si>
    <t>Финансовый результат :</t>
  </si>
  <si>
    <t>за  2005 г.</t>
  </si>
  <si>
    <t>за  8 месяцев 2006 г.</t>
  </si>
  <si>
    <t xml:space="preserve"> арендная плата за землю</t>
  </si>
  <si>
    <t>земельный налог  (свидетельство - июлъ 2006г.)</t>
  </si>
  <si>
    <t>ЕНВД(за 1 полугодие т.г.)</t>
  </si>
  <si>
    <t>Примечание : аренда земли  оформлена  на физ.лицо (Федаш)</t>
  </si>
  <si>
    <t xml:space="preserve"> (арендует 2 места ,а платит за одно )</t>
  </si>
  <si>
    <t>Примечание: земля выкуплена (с июля т.г. земельный налог)</t>
  </si>
  <si>
    <t>услуги "Крильон Сервис " (ремонт замка входной двери)</t>
  </si>
  <si>
    <t>БЮДЖЕТ</t>
  </si>
  <si>
    <t xml:space="preserve">Наименование </t>
  </si>
  <si>
    <t xml:space="preserve">Доходы </t>
  </si>
  <si>
    <t>1.1</t>
  </si>
  <si>
    <t>1.2</t>
  </si>
  <si>
    <t>1.3</t>
  </si>
  <si>
    <t>Членские взносы</t>
  </si>
  <si>
    <t xml:space="preserve">Расходы </t>
  </si>
  <si>
    <t>Финансовый результат</t>
  </si>
  <si>
    <t>II</t>
  </si>
  <si>
    <t>I</t>
  </si>
  <si>
    <t>III</t>
  </si>
  <si>
    <t>Сумма , руб</t>
  </si>
  <si>
    <t>Налоги:</t>
  </si>
  <si>
    <t>7.1</t>
  </si>
  <si>
    <t>7.2</t>
  </si>
  <si>
    <t>7.3</t>
  </si>
  <si>
    <t>НДС</t>
  </si>
  <si>
    <t>7.4</t>
  </si>
  <si>
    <t>Налог на прибыль</t>
  </si>
  <si>
    <t xml:space="preserve">Расчет  обязательных платежей </t>
  </si>
  <si>
    <t>Целевое финансирование (обязательные платежи)</t>
  </si>
  <si>
    <t>Ф.И.О.</t>
  </si>
  <si>
    <t>Павлов  И.В.</t>
  </si>
  <si>
    <t>Зубарева Е.С.</t>
  </si>
  <si>
    <t>Романов  В.А.</t>
  </si>
  <si>
    <t>Белоусова О.В.</t>
  </si>
  <si>
    <t>Петухов А.Е.</t>
  </si>
  <si>
    <t>Вильямова Е.А.</t>
  </si>
  <si>
    <t xml:space="preserve">в том числе </t>
  </si>
  <si>
    <t>ОАО "НК"РН-СМНГ"</t>
  </si>
  <si>
    <t>Ефремов В.И.</t>
  </si>
  <si>
    <t>Колесов А.В.</t>
  </si>
  <si>
    <t>Ямбарышева Н.П.</t>
  </si>
  <si>
    <t>Ткачук В.М.</t>
  </si>
  <si>
    <t>Ткаченко В.В.</t>
  </si>
  <si>
    <t>Назаренко А.В.</t>
  </si>
  <si>
    <t>Мясников В.В.</t>
  </si>
  <si>
    <t>Кумпан В.А.</t>
  </si>
  <si>
    <t>Гайсина В.М.</t>
  </si>
  <si>
    <t>Чумаков А.А.</t>
  </si>
  <si>
    <t>Тимофеева С.А.</t>
  </si>
  <si>
    <t>Клапцова Н.А.</t>
  </si>
  <si>
    <t>Истомина Т.С.</t>
  </si>
  <si>
    <t>Подорожный А.Г.</t>
  </si>
  <si>
    <t>Федаш В.Н.</t>
  </si>
  <si>
    <t>Любушкина Н.Б.</t>
  </si>
  <si>
    <t>Кордов В.В.</t>
  </si>
  <si>
    <t>Бабичева Г.А.</t>
  </si>
  <si>
    <t>Дружков Е.Н.</t>
  </si>
  <si>
    <t>Пауков В.В.</t>
  </si>
  <si>
    <t>Николаева Г.М.</t>
  </si>
  <si>
    <t>Ионов В.Ю.</t>
  </si>
  <si>
    <t>Грязнова О.В.</t>
  </si>
  <si>
    <t>Буньков Б.Н.</t>
  </si>
  <si>
    <t>Долевое участие в содержании дома</t>
  </si>
  <si>
    <t>Кап.ремонт</t>
  </si>
  <si>
    <t>Отопление</t>
  </si>
  <si>
    <t xml:space="preserve">Горячая вода </t>
  </si>
  <si>
    <t xml:space="preserve">Холодная вода </t>
  </si>
  <si>
    <t>Водоотведение</t>
  </si>
  <si>
    <t>Обслуживание  эл.плиты</t>
  </si>
  <si>
    <t xml:space="preserve">Электрическая энергия </t>
  </si>
  <si>
    <t>Общая площадь,кв.м</t>
  </si>
  <si>
    <t>Кислицына Е.И.</t>
  </si>
  <si>
    <t>20 А</t>
  </si>
  <si>
    <t>Нагорная В.В.</t>
  </si>
  <si>
    <t>ИТОГО в месяц :</t>
  </si>
  <si>
    <t>ИТОГО в год :</t>
  </si>
  <si>
    <t xml:space="preserve">Текущее содержание </t>
  </si>
  <si>
    <t>Прописано ,чел</t>
  </si>
  <si>
    <t>нет</t>
  </si>
  <si>
    <t xml:space="preserve"> по ТСЖ "_________", расположенного по адресу :</t>
  </si>
  <si>
    <t>доходов и расходов по ТСЖ "________"  , расположенного  по адресу :</t>
  </si>
  <si>
    <t>Тариф</t>
  </si>
  <si>
    <t xml:space="preserve"> </t>
  </si>
  <si>
    <t>Квартирная плата, руб/мес-всего:</t>
  </si>
  <si>
    <t>14 В</t>
  </si>
  <si>
    <t>кв.м</t>
  </si>
  <si>
    <t>руб</t>
  </si>
  <si>
    <t xml:space="preserve">№105 па </t>
  </si>
  <si>
    <t>от 19.07.04</t>
  </si>
  <si>
    <t>кадастровая</t>
  </si>
  <si>
    <t xml:space="preserve">оценочная </t>
  </si>
  <si>
    <t>Гараж , стоянка</t>
  </si>
  <si>
    <t>г.Южно-Сахалинск , ул.Горького 14б на 2007 год</t>
  </si>
  <si>
    <t>за 9 месяцев 2006 года</t>
  </si>
  <si>
    <t>вода и канализация (кв.7)</t>
  </si>
  <si>
    <t>аренда имущества</t>
  </si>
  <si>
    <t xml:space="preserve">ремонт </t>
  </si>
  <si>
    <t xml:space="preserve">Паевые взносы </t>
  </si>
  <si>
    <t>Налог на землю (муниципальная собственность)</t>
  </si>
  <si>
    <t>Персонал</t>
  </si>
  <si>
    <t>1.</t>
  </si>
  <si>
    <t>Председатель ТСЖ</t>
  </si>
  <si>
    <t>Главный бухгалтер</t>
  </si>
  <si>
    <t>Уборщица</t>
  </si>
  <si>
    <t>Дворник</t>
  </si>
  <si>
    <t>2.</t>
  </si>
  <si>
    <t>Вознаграждение членам правления ТСЖ</t>
  </si>
  <si>
    <t>по решению Общего собрания</t>
  </si>
  <si>
    <t>3.</t>
  </si>
  <si>
    <t>Обязательные платежи</t>
  </si>
  <si>
    <t>электроэнергия</t>
  </si>
  <si>
    <t>теплоэнергия</t>
  </si>
  <si>
    <t>горячая вода</t>
  </si>
  <si>
    <t>4.</t>
  </si>
  <si>
    <t>Расходы по содержанию дома</t>
  </si>
  <si>
    <t>санитарная экспертиза воды</t>
  </si>
  <si>
    <t>поверка приборов</t>
  </si>
  <si>
    <t>Опрессовка систем отопления</t>
  </si>
  <si>
    <t>Ремонт водяной скважины 350000 1 раз в 5 лет</t>
  </si>
  <si>
    <t>Текущее содержание скважины</t>
  </si>
  <si>
    <t>Содержание и текущий ремонт систем видеонаблюдения и домофонов</t>
  </si>
  <si>
    <t>Дизельгенератор (аварийный расход) дизтопливо + масла</t>
  </si>
  <si>
    <t>газонокосилка,снегоуборочная машина бензин</t>
  </si>
  <si>
    <t>вывоз мусора</t>
  </si>
  <si>
    <t>Материалы (электролампы, моющие, хозпринадлежности, краска и пр.)</t>
  </si>
  <si>
    <t>Внутридомовое обслуживание (систем электроснабжения, теплоснабжения,ремонтно-аварийное обслуживание)</t>
  </si>
  <si>
    <t>Расчетно-кассовый центр</t>
  </si>
  <si>
    <t>обязательные платежи</t>
  </si>
  <si>
    <t>текущее содержание</t>
  </si>
  <si>
    <t>водоотведение</t>
  </si>
  <si>
    <t>Членские взносы на 1 кв. метр в год</t>
  </si>
  <si>
    <t>Членские взносы на 1 кв. метр в месяц</t>
  </si>
  <si>
    <t xml:space="preserve">при заключении договора </t>
  </si>
  <si>
    <t>расчиска снега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</si>
  <si>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</si>
  <si>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</si>
  <si>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</si>
  <si>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</si>
  <si>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</si>
  <si>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</si>
  <si>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</si>
  <si>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</si>
  <si>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</si>
  <si>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</si>
  <si>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</si>
  <si>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</si>
  <si>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</si>
  <si>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</si>
  <si>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</si>
  <si>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имущество дома</t>
  </si>
  <si>
    <t>квартиры собственность ООО</t>
  </si>
  <si>
    <t>Заработная плата</t>
  </si>
  <si>
    <t>Сумма ежемесячных расходов,</t>
  </si>
  <si>
    <t>Банковские услуги</t>
  </si>
  <si>
    <t>10.</t>
  </si>
  <si>
    <t>Электротовары</t>
  </si>
  <si>
    <t>Содержание водяной скважины</t>
  </si>
  <si>
    <t>ремонт водяной скважины 350000 1 раз в 5 лет</t>
  </si>
  <si>
    <t>10.1.</t>
  </si>
  <si>
    <t>10.2.</t>
  </si>
  <si>
    <t>10.3.</t>
  </si>
  <si>
    <t>10.4.</t>
  </si>
  <si>
    <t>10.5.</t>
  </si>
  <si>
    <t>текущее содержание скважины (электроэнергия, поверка приборов)</t>
  </si>
  <si>
    <t>Амортизация</t>
  </si>
  <si>
    <t>1.1.</t>
  </si>
  <si>
    <t>1.2.</t>
  </si>
  <si>
    <t>1.3.</t>
  </si>
  <si>
    <t>10.6.</t>
  </si>
  <si>
    <t xml:space="preserve">аренда </t>
  </si>
  <si>
    <t>ЖЭК (договор на вывоз мусора)</t>
  </si>
  <si>
    <t>ЖЭК (паспортист)</t>
  </si>
  <si>
    <t>Капитальный ремонт</t>
  </si>
  <si>
    <t>Текущий ремонт</t>
  </si>
  <si>
    <t>Непредвиденные расходы</t>
  </si>
  <si>
    <t>НДФЛ</t>
  </si>
  <si>
    <t xml:space="preserve"> Дизтопливо, масла (аварийный расход 167 л в месяц)</t>
  </si>
  <si>
    <t>Первоначальная стоимость дизельгенератора</t>
  </si>
  <si>
    <t>Остаточная стоимость дизельгенератора на 1.12.08</t>
  </si>
  <si>
    <t xml:space="preserve"> Расходы на содержание дизельгенератора</t>
  </si>
  <si>
    <t>2.1.</t>
  </si>
  <si>
    <t>2.2.</t>
  </si>
  <si>
    <t>2.3.</t>
  </si>
  <si>
    <t>2.4.</t>
  </si>
  <si>
    <t xml:space="preserve">НДС </t>
  </si>
  <si>
    <t>Стоимость услуги по содержанию генератора</t>
  </si>
  <si>
    <t>Стоимость услуги по содержанию генератора на 1 кв.м</t>
  </si>
  <si>
    <t>Стоимость услуг за содержание скважины</t>
  </si>
  <si>
    <t>10.7.0</t>
  </si>
  <si>
    <t>Стоимость услуг на 1 чел.</t>
  </si>
  <si>
    <t>лицензия (разовый платеж)</t>
  </si>
  <si>
    <t>Норма на 1 чел. м3 в месяц</t>
  </si>
  <si>
    <t>на содержание аварийного дизельгенератора</t>
  </si>
  <si>
    <t>Расчет стоимости услуг</t>
  </si>
  <si>
    <t>Стомость на 1 чел.  Руб. Сах Водоканал</t>
  </si>
  <si>
    <t>Справочно:</t>
  </si>
  <si>
    <t>Количество проживающих</t>
  </si>
  <si>
    <t>Стоимость 1 м3 в месяц Сах Водоканал</t>
  </si>
  <si>
    <t>на содержание водяной скважины</t>
  </si>
  <si>
    <t>2012 год</t>
  </si>
  <si>
    <t>Примечания для составления сметы расходов</t>
  </si>
  <si>
    <t>Экотерм (обслуживание теплосчетчика)</t>
  </si>
  <si>
    <t>Амортизация теплосчетчика</t>
  </si>
  <si>
    <t>Амортизация  системы видеонаблюдения</t>
  </si>
  <si>
    <t>Гидравлически работы по подготовке водо и тепло систем</t>
  </si>
  <si>
    <t>Очистка кровли от снега и льда</t>
  </si>
  <si>
    <t>тех. Инвентаризация, составление техпаспортов</t>
  </si>
  <si>
    <t>Социальные фонды</t>
  </si>
  <si>
    <t>%</t>
  </si>
  <si>
    <t>Ориентировочная потребность</t>
  </si>
  <si>
    <t>данные не представлены</t>
  </si>
  <si>
    <t>уточнить</t>
  </si>
  <si>
    <t>Договор с РАС</t>
  </si>
  <si>
    <t>не продлен</t>
  </si>
  <si>
    <t>договор до 31.05.2012</t>
  </si>
  <si>
    <t>договор не представлен</t>
  </si>
  <si>
    <t>Бухгалтер ТСЖ</t>
  </si>
  <si>
    <t>1.4.</t>
  </si>
  <si>
    <t>Непредвиденные расходы 1%</t>
  </si>
  <si>
    <t>Текущий ремонт, озеление</t>
  </si>
  <si>
    <t>Доля</t>
  </si>
  <si>
    <t>Плата за содержание и ремонт общего имущества на 1 кв. метр  общей площади в месяц:</t>
  </si>
  <si>
    <t>В том числе:</t>
  </si>
  <si>
    <t>РКЦ (договор на обслуживание)</t>
  </si>
  <si>
    <t xml:space="preserve">Управляющий ТСЖ  </t>
  </si>
  <si>
    <t>Уборщица ТСЖ</t>
  </si>
  <si>
    <t>Дворник ТСЖ</t>
  </si>
  <si>
    <t>Инвентарь, спецодежда, расходные материалы и электротовары</t>
  </si>
  <si>
    <t>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</si>
</sst>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[Red]#,##0"/>
    <numFmt numFmtId="167" formatCode="0.000"/>
    <numFmt numFmtId="168" formatCode="0.000000"/>
    <numFmt numFmtId="169" formatCode="0.00000"/>
    <numFmt numFmtId="170" formatCode="0.0000"/>
    <numFmt numFmtId="171" formatCode="0.00000000"/>
    <numFmt numFmtId="172" formatCode="0.0000000"/>
    <numFmt numFmtId="173" formatCode="0.0%"/>
    <numFmt numFmtId="174" formatCode="#,##0.000"/>
    <numFmt numFmtId="175" formatCode="#,##0.0000"/>
    <numFmt numFmtId="176" formatCode="#,##0.00000"/>
    <numFmt numFmtId="177" formatCode="#,##0.000000"/>
    <numFmt numFmtId="178" formatCode="#,##0.0000000"/>
  </numFmts>
  <fonts count="12"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48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8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49" fontId="2" fillId="0" borderId="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3" fillId="0" borderId="8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/>
    </xf>
    <xf numFmtId="0" fontId="7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9" fillId="0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8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8" xfId="0" applyBorder="1" applyAlignment="1">
      <alignment horizontal="right"/>
    </xf>
    <xf numFmtId="0" fontId="6" fillId="4" borderId="8" xfId="0" applyFont="1" applyFill="1" applyBorder="1" applyAlignment="1">
      <alignment/>
    </xf>
    <xf numFmtId="0" fontId="6" fillId="4" borderId="0" xfId="0" applyFont="1" applyFill="1" applyAlignment="1">
      <alignment/>
    </xf>
    <xf numFmtId="164" fontId="0" fillId="0" borderId="8" xfId="0" applyNumberFormat="1" applyBorder="1" applyAlignment="1">
      <alignment/>
    </xf>
    <xf numFmtId="2" fontId="0" fillId="3" borderId="8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0" fontId="0" fillId="3" borderId="8" xfId="0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6" fillId="0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" borderId="8" xfId="0" applyFont="1" applyFill="1" applyBorder="1" applyAlignment="1">
      <alignment/>
    </xf>
    <xf numFmtId="2" fontId="0" fillId="0" borderId="8" xfId="0" applyNumberFormat="1" applyFill="1" applyBorder="1" applyAlignment="1">
      <alignment/>
    </xf>
    <xf numFmtId="2" fontId="6" fillId="0" borderId="8" xfId="0" applyNumberFormat="1" applyFont="1" applyFill="1" applyBorder="1" applyAlignment="1">
      <alignment/>
    </xf>
    <xf numFmtId="2" fontId="6" fillId="0" borderId="8" xfId="0" applyNumberFormat="1" applyFont="1" applyBorder="1" applyAlignment="1">
      <alignment/>
    </xf>
    <xf numFmtId="2" fontId="6" fillId="3" borderId="8" xfId="0" applyNumberFormat="1" applyFont="1" applyFill="1" applyBorder="1" applyAlignment="1">
      <alignment/>
    </xf>
    <xf numFmtId="2" fontId="6" fillId="4" borderId="8" xfId="0" applyNumberFormat="1" applyFont="1" applyFill="1" applyBorder="1" applyAlignment="1">
      <alignment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1" xfId="0" applyFont="1" applyFill="1" applyBorder="1" applyAlignment="1">
      <alignment/>
    </xf>
    <xf numFmtId="0" fontId="6" fillId="0" borderId="5" xfId="0" applyFont="1" applyBorder="1" applyAlignment="1">
      <alignment/>
    </xf>
    <xf numFmtId="0" fontId="3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right"/>
    </xf>
    <xf numFmtId="164" fontId="0" fillId="0" borderId="8" xfId="0" applyNumberFormat="1" applyFill="1" applyBorder="1" applyAlignment="1">
      <alignment/>
    </xf>
    <xf numFmtId="0" fontId="0" fillId="4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4" borderId="7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0" fontId="6" fillId="4" borderId="7" xfId="0" applyFont="1" applyFill="1" applyBorder="1" applyAlignment="1">
      <alignment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/>
    </xf>
    <xf numFmtId="0" fontId="6" fillId="4" borderId="3" xfId="0" applyFont="1" applyFill="1" applyBorder="1" applyAlignment="1">
      <alignment wrapText="1"/>
    </xf>
    <xf numFmtId="0" fontId="0" fillId="4" borderId="9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9" xfId="0" applyFill="1" applyBorder="1" applyAlignment="1">
      <alignment/>
    </xf>
    <xf numFmtId="0" fontId="0" fillId="4" borderId="5" xfId="0" applyFill="1" applyBorder="1" applyAlignment="1">
      <alignment wrapText="1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 wrapText="1"/>
    </xf>
    <xf numFmtId="0" fontId="6" fillId="0" borderId="0" xfId="0" applyFont="1" applyAlignment="1">
      <alignment horizontal="right"/>
    </xf>
    <xf numFmtId="2" fontId="0" fillId="0" borderId="0" xfId="0" applyNumberFormat="1" applyFill="1" applyAlignment="1">
      <alignment/>
    </xf>
    <xf numFmtId="0" fontId="3" fillId="4" borderId="2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Fill="1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right"/>
    </xf>
    <xf numFmtId="3" fontId="3" fillId="0" borderId="8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3" fontId="2" fillId="0" borderId="8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Border="1" applyAlignment="1">
      <alignment wrapText="1"/>
    </xf>
    <xf numFmtId="164" fontId="0" fillId="3" borderId="8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0" xfId="0" applyNumberFormat="1" applyFont="1" applyAlignment="1">
      <alignment/>
    </xf>
    <xf numFmtId="1" fontId="2" fillId="0" borderId="8" xfId="0" applyNumberFormat="1" applyFont="1" applyBorder="1" applyAlignment="1">
      <alignment/>
    </xf>
    <xf numFmtId="0" fontId="0" fillId="0" borderId="0" xfId="0" applyFont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0" fontId="0" fillId="2" borderId="2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1" fontId="0" fillId="0" borderId="6" xfId="0" applyNumberForma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9" fontId="2" fillId="0" borderId="4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2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2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10" fontId="2" fillId="0" borderId="0" xfId="17" applyNumberFormat="1" applyFont="1" applyAlignment="1">
      <alignment/>
    </xf>
    <xf numFmtId="0" fontId="2" fillId="0" borderId="0" xfId="0" applyNumberFormat="1" applyFont="1" applyAlignment="1">
      <alignment horizontal="left"/>
    </xf>
    <xf numFmtId="178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/>
    </xf>
    <xf numFmtId="10" fontId="2" fillId="0" borderId="15" xfId="17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left"/>
    </xf>
    <xf numFmtId="10" fontId="2" fillId="0" borderId="15" xfId="17" applyNumberFormat="1" applyFont="1" applyBorder="1" applyAlignment="1">
      <alignment/>
    </xf>
    <xf numFmtId="16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10" fontId="2" fillId="0" borderId="19" xfId="17" applyNumberFormat="1" applyFont="1" applyBorder="1" applyAlignment="1">
      <alignment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14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2" fillId="0" borderId="5" xfId="0" applyFont="1" applyBorder="1" applyAlignment="1">
      <alignment horizontal="center"/>
    </xf>
    <xf numFmtId="10" fontId="2" fillId="0" borderId="21" xfId="17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0" fontId="2" fillId="0" borderId="0" xfId="17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22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pane xSplit="2" ySplit="8" topLeftCell="C9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33203125" defaultRowHeight="12.75"/>
  <cols>
    <col min="1" max="1" width="6.66015625" style="2" customWidth="1"/>
    <col min="2" max="2" width="64.83203125" style="2" customWidth="1"/>
    <col min="3" max="3" width="18.16015625" style="2" customWidth="1"/>
    <col min="4" max="4" width="9.33203125" style="2" customWidth="1"/>
    <col min="5" max="5" width="13.33203125" style="2" customWidth="1"/>
    <col min="6" max="16384" width="9.33203125" style="2" customWidth="1"/>
  </cols>
  <sheetData>
    <row r="1" spans="1:3" ht="15">
      <c r="A1" s="1"/>
      <c r="B1" s="1"/>
      <c r="C1" s="1"/>
    </row>
    <row r="2" spans="1:3" s="13" customFormat="1" ht="18.75">
      <c r="A2" s="227" t="s">
        <v>0</v>
      </c>
      <c r="B2" s="227"/>
      <c r="C2" s="227"/>
    </row>
    <row r="3" spans="1:3" ht="15">
      <c r="A3" s="228" t="s">
        <v>5</v>
      </c>
      <c r="B3" s="228"/>
      <c r="C3" s="228"/>
    </row>
    <row r="4" spans="1:3" s="27" customFormat="1" ht="15">
      <c r="A4" s="229" t="s">
        <v>4</v>
      </c>
      <c r="B4" s="229"/>
      <c r="C4" s="229"/>
    </row>
    <row r="5" spans="1:3" ht="15">
      <c r="A5" s="228" t="s">
        <v>40</v>
      </c>
      <c r="B5" s="228"/>
      <c r="C5" s="228"/>
    </row>
    <row r="6" spans="1:3" ht="15">
      <c r="A6" s="1"/>
      <c r="B6" s="1"/>
      <c r="C6" s="1"/>
    </row>
    <row r="7" spans="1:3" ht="15">
      <c r="A7" s="3" t="s">
        <v>1</v>
      </c>
      <c r="B7" s="4" t="s">
        <v>2</v>
      </c>
      <c r="C7" s="5" t="s">
        <v>3</v>
      </c>
    </row>
    <row r="8" spans="1:3" ht="15">
      <c r="A8" s="6"/>
      <c r="B8" s="7"/>
      <c r="C8" s="8"/>
    </row>
    <row r="9" spans="1:3" ht="15">
      <c r="A9" s="18"/>
      <c r="B9" s="14"/>
      <c r="C9" s="18"/>
    </row>
    <row r="10" spans="1:3" s="10" customFormat="1" ht="14.25">
      <c r="A10" s="19">
        <v>1</v>
      </c>
      <c r="B10" s="15" t="s">
        <v>6</v>
      </c>
      <c r="C10" s="23">
        <v>24262.23</v>
      </c>
    </row>
    <row r="11" spans="1:3" s="10" customFormat="1" ht="14.25">
      <c r="A11" s="19">
        <v>2</v>
      </c>
      <c r="B11" s="15" t="s">
        <v>7</v>
      </c>
      <c r="C11" s="23">
        <v>117742.22</v>
      </c>
    </row>
    <row r="12" spans="1:3" s="10" customFormat="1" ht="14.25">
      <c r="A12" s="19">
        <v>3</v>
      </c>
      <c r="B12" s="15" t="s">
        <v>24</v>
      </c>
      <c r="C12" s="23">
        <v>16997.35</v>
      </c>
    </row>
    <row r="13" spans="1:3" s="10" customFormat="1" ht="14.25">
      <c r="A13" s="19">
        <v>4</v>
      </c>
      <c r="B13" s="15" t="s">
        <v>25</v>
      </c>
      <c r="C13" s="23">
        <v>103676.6</v>
      </c>
    </row>
    <row r="14" spans="1:5" s="10" customFormat="1" ht="15">
      <c r="A14" s="19">
        <v>5</v>
      </c>
      <c r="B14" s="15" t="s">
        <v>14</v>
      </c>
      <c r="C14" s="23">
        <v>20616.06</v>
      </c>
      <c r="E14" s="27"/>
    </row>
    <row r="15" spans="1:3" s="10" customFormat="1" ht="14.25">
      <c r="A15" s="19">
        <v>6</v>
      </c>
      <c r="B15" s="15" t="s">
        <v>9</v>
      </c>
      <c r="C15" s="23">
        <f>SUM(C16:C20)+C26</f>
        <v>2203326.55</v>
      </c>
    </row>
    <row r="16" spans="1:3" ht="15">
      <c r="A16" s="20" t="s">
        <v>26</v>
      </c>
      <c r="B16" s="16" t="s">
        <v>10</v>
      </c>
      <c r="C16" s="24">
        <v>53.28</v>
      </c>
    </row>
    <row r="17" spans="1:3" ht="15">
      <c r="A17" s="20" t="s">
        <v>27</v>
      </c>
      <c r="B17" s="16" t="s">
        <v>11</v>
      </c>
      <c r="C17" s="24">
        <v>1608984</v>
      </c>
    </row>
    <row r="18" spans="1:3" ht="15">
      <c r="A18" s="20" t="s">
        <v>28</v>
      </c>
      <c r="B18" s="16" t="s">
        <v>12</v>
      </c>
      <c r="C18" s="24">
        <v>7177.38</v>
      </c>
    </row>
    <row r="19" spans="1:3" ht="15">
      <c r="A19" s="20" t="s">
        <v>29</v>
      </c>
      <c r="B19" s="16" t="s">
        <v>36</v>
      </c>
      <c r="C19" s="24">
        <v>4788</v>
      </c>
    </row>
    <row r="20" spans="1:3" ht="15">
      <c r="A20" s="20" t="s">
        <v>30</v>
      </c>
      <c r="B20" s="16" t="s">
        <v>15</v>
      </c>
      <c r="C20" s="24">
        <f>SUM(C21:C25)</f>
        <v>576379.83</v>
      </c>
    </row>
    <row r="21" spans="1:5" ht="15">
      <c r="A21" s="20"/>
      <c r="B21" s="16" t="s">
        <v>16</v>
      </c>
      <c r="C21" s="25">
        <v>100482</v>
      </c>
      <c r="E21" s="11"/>
    </row>
    <row r="22" spans="1:3" ht="15">
      <c r="A22" s="20"/>
      <c r="B22" s="16" t="s">
        <v>17</v>
      </c>
      <c r="C22" s="25">
        <f>24000+141500+156400+108000</f>
        <v>429900</v>
      </c>
    </row>
    <row r="23" spans="1:3" ht="15">
      <c r="A23" s="20"/>
      <c r="B23" s="16" t="s">
        <v>18</v>
      </c>
      <c r="C23" s="25">
        <v>8889.83</v>
      </c>
    </row>
    <row r="24" spans="1:3" ht="15">
      <c r="A24" s="21"/>
      <c r="B24" s="16" t="s">
        <v>19</v>
      </c>
      <c r="C24" s="25">
        <v>34300</v>
      </c>
    </row>
    <row r="25" spans="1:3" ht="15">
      <c r="A25" s="21"/>
      <c r="B25" s="16" t="s">
        <v>59</v>
      </c>
      <c r="C25" s="25">
        <v>2808</v>
      </c>
    </row>
    <row r="26" spans="1:3" ht="15">
      <c r="A26" s="20" t="s">
        <v>31</v>
      </c>
      <c r="B26" s="16" t="s">
        <v>20</v>
      </c>
      <c r="C26" s="25">
        <f>SUM(C27:C29)</f>
        <v>5944.0599999999995</v>
      </c>
    </row>
    <row r="27" spans="1:5" ht="15">
      <c r="A27" s="21"/>
      <c r="B27" s="16" t="s">
        <v>21</v>
      </c>
      <c r="C27" s="25">
        <f>587.08+588.98</f>
        <v>1176.06</v>
      </c>
      <c r="E27" s="11"/>
    </row>
    <row r="28" spans="1:3" ht="15">
      <c r="A28" s="21"/>
      <c r="B28" s="16" t="s">
        <v>22</v>
      </c>
      <c r="C28" s="25">
        <v>4768</v>
      </c>
    </row>
    <row r="29" spans="1:3" ht="15">
      <c r="A29" s="21"/>
      <c r="C29" s="21"/>
    </row>
    <row r="30" spans="1:5" s="9" customFormat="1" ht="14.25">
      <c r="A30" s="22"/>
      <c r="B30" s="17" t="s">
        <v>13</v>
      </c>
      <c r="C30" s="26">
        <f>SUM(C10:C15)</f>
        <v>2486621.01</v>
      </c>
      <c r="E30" s="12"/>
    </row>
    <row r="31" spans="1:3" ht="15">
      <c r="A31" s="21">
        <v>7</v>
      </c>
      <c r="B31" s="16" t="s">
        <v>38</v>
      </c>
      <c r="C31" s="25">
        <v>341905</v>
      </c>
    </row>
    <row r="32" spans="1:3" s="10" customFormat="1" ht="14.25">
      <c r="A32" s="31"/>
      <c r="B32" s="32" t="s">
        <v>39</v>
      </c>
      <c r="C32" s="33">
        <f>C30+C31</f>
        <v>2828526.01</v>
      </c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228" t="s">
        <v>32</v>
      </c>
      <c r="B39" s="228"/>
      <c r="C39" s="228"/>
    </row>
    <row r="40" spans="1:3" ht="15">
      <c r="A40" s="1"/>
      <c r="B40" s="1"/>
      <c r="C40" s="1"/>
    </row>
    <row r="41" spans="1:3" ht="15">
      <c r="A41" s="1"/>
      <c r="B41" s="1"/>
      <c r="C41" s="1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 t="s">
        <v>33</v>
      </c>
      <c r="B44" s="1"/>
      <c r="C44" s="1"/>
    </row>
    <row r="45" spans="1:3" ht="15">
      <c r="A45" s="1"/>
      <c r="B45" s="1"/>
      <c r="C45" s="1"/>
    </row>
    <row r="46" spans="1:3" ht="15">
      <c r="A46" s="1"/>
      <c r="B46" s="1"/>
      <c r="C46" s="1"/>
    </row>
    <row r="47" spans="1:3" ht="15">
      <c r="A47" s="1"/>
      <c r="B47" s="1"/>
      <c r="C47" s="1"/>
    </row>
  </sheetData>
  <mergeCells count="5">
    <mergeCell ref="A2:C2"/>
    <mergeCell ref="A3:C3"/>
    <mergeCell ref="A4:C4"/>
    <mergeCell ref="A39:C39"/>
    <mergeCell ref="A5:C5"/>
  </mergeCells>
  <printOptions gridLines="1"/>
  <pageMargins left="0.94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8" sqref="D28"/>
    </sheetView>
  </sheetViews>
  <sheetFormatPr defaultColWidth="9.33203125" defaultRowHeight="12.75"/>
  <cols>
    <col min="1" max="1" width="6.66015625" style="2" customWidth="1"/>
    <col min="2" max="2" width="64.83203125" style="2" customWidth="1"/>
    <col min="3" max="3" width="18.16015625" style="2" customWidth="1"/>
    <col min="4" max="16384" width="9.33203125" style="2" customWidth="1"/>
  </cols>
  <sheetData>
    <row r="1" spans="1:3" ht="15">
      <c r="A1" s="1"/>
      <c r="B1" s="1"/>
      <c r="C1" s="1"/>
    </row>
    <row r="2" spans="1:3" s="13" customFormat="1" ht="18.75">
      <c r="A2" s="227" t="s">
        <v>46</v>
      </c>
      <c r="B2" s="227"/>
      <c r="C2" s="227"/>
    </row>
    <row r="3" spans="1:3" ht="15">
      <c r="A3" s="228" t="s">
        <v>47</v>
      </c>
      <c r="B3" s="228"/>
      <c r="C3" s="228"/>
    </row>
    <row r="4" spans="1:3" s="27" customFormat="1" ht="15">
      <c r="A4" s="229" t="s">
        <v>4</v>
      </c>
      <c r="B4" s="229"/>
      <c r="C4" s="229"/>
    </row>
    <row r="5" spans="1:3" ht="15">
      <c r="A5" s="228" t="s">
        <v>51</v>
      </c>
      <c r="B5" s="228"/>
      <c r="C5" s="228"/>
    </row>
    <row r="6" spans="1:3" ht="15">
      <c r="A6" s="1"/>
      <c r="B6" s="1"/>
      <c r="C6" s="1"/>
    </row>
    <row r="7" spans="1:3" ht="15">
      <c r="A7" s="3" t="s">
        <v>1</v>
      </c>
      <c r="B7" s="4" t="s">
        <v>2</v>
      </c>
      <c r="C7" s="5" t="s">
        <v>3</v>
      </c>
    </row>
    <row r="8" spans="1:3" ht="15">
      <c r="A8" s="6"/>
      <c r="B8" s="7"/>
      <c r="C8" s="8"/>
    </row>
    <row r="9" spans="1:3" ht="15">
      <c r="A9" s="18"/>
      <c r="B9" s="14"/>
      <c r="C9" s="18"/>
    </row>
    <row r="10" spans="1:3" s="10" customFormat="1" ht="14.25">
      <c r="A10" s="19">
        <v>1</v>
      </c>
      <c r="B10" s="15" t="s">
        <v>48</v>
      </c>
      <c r="C10" s="34">
        <v>292532</v>
      </c>
    </row>
    <row r="11" spans="1:3" ht="15">
      <c r="A11" s="21"/>
      <c r="B11" s="16"/>
      <c r="C11" s="34"/>
    </row>
    <row r="12" spans="1:3" s="10" customFormat="1" ht="14.25">
      <c r="A12" s="19">
        <v>2</v>
      </c>
      <c r="B12" s="15" t="s">
        <v>49</v>
      </c>
      <c r="C12" s="34">
        <f>SUM(C13:C15)+C21</f>
        <v>284761.23</v>
      </c>
    </row>
    <row r="13" spans="1:3" s="27" customFormat="1" ht="15">
      <c r="A13" s="28">
        <v>1</v>
      </c>
      <c r="B13" s="29" t="s">
        <v>6</v>
      </c>
      <c r="C13" s="30">
        <v>236279.6</v>
      </c>
    </row>
    <row r="14" spans="1:3" s="27" customFormat="1" ht="15">
      <c r="A14" s="28">
        <v>2</v>
      </c>
      <c r="B14" s="29" t="s">
        <v>25</v>
      </c>
      <c r="C14" s="30">
        <v>7793.63</v>
      </c>
    </row>
    <row r="15" spans="1:3" s="27" customFormat="1" ht="15">
      <c r="A15" s="28">
        <v>3</v>
      </c>
      <c r="B15" s="29" t="s">
        <v>9</v>
      </c>
      <c r="C15" s="30">
        <f>SUM(C16:C19)</f>
        <v>0</v>
      </c>
    </row>
    <row r="16" spans="1:3" ht="15">
      <c r="A16" s="20" t="s">
        <v>41</v>
      </c>
      <c r="B16" s="16" t="s">
        <v>10</v>
      </c>
      <c r="C16" s="24"/>
    </row>
    <row r="17" spans="1:3" ht="15">
      <c r="A17" s="35" t="s">
        <v>42</v>
      </c>
      <c r="B17" s="36" t="s">
        <v>11</v>
      </c>
      <c r="C17" s="24"/>
    </row>
    <row r="18" spans="1:3" ht="15">
      <c r="A18" s="35" t="s">
        <v>43</v>
      </c>
      <c r="B18" s="36" t="s">
        <v>53</v>
      </c>
      <c r="C18" s="24">
        <v>0</v>
      </c>
    </row>
    <row r="19" spans="1:3" ht="15">
      <c r="A19" s="35" t="s">
        <v>44</v>
      </c>
      <c r="B19" s="36" t="s">
        <v>15</v>
      </c>
      <c r="C19" s="24"/>
    </row>
    <row r="20" spans="1:3" ht="15">
      <c r="A20" s="35"/>
      <c r="B20" s="36" t="s">
        <v>18</v>
      </c>
      <c r="C20" s="24"/>
    </row>
    <row r="21" spans="1:3" s="10" customFormat="1" ht="14.25">
      <c r="A21" s="37">
        <v>4</v>
      </c>
      <c r="B21" s="38" t="s">
        <v>45</v>
      </c>
      <c r="C21" s="23">
        <v>40688</v>
      </c>
    </row>
    <row r="22" spans="1:3" ht="15">
      <c r="A22" s="39"/>
      <c r="B22" s="36"/>
      <c r="C22" s="24"/>
    </row>
    <row r="23" spans="1:3" s="10" customFormat="1" ht="14.25">
      <c r="A23" s="19">
        <v>5</v>
      </c>
      <c r="B23" s="15" t="s">
        <v>50</v>
      </c>
      <c r="C23" s="34">
        <f>C10-C12</f>
        <v>7770.770000000019</v>
      </c>
    </row>
    <row r="24" spans="1:3" ht="15">
      <c r="A24" s="21"/>
      <c r="B24" s="16"/>
      <c r="C24" s="25"/>
    </row>
    <row r="25" spans="1:3" s="10" customFormat="1" ht="14.25">
      <c r="A25" s="31"/>
      <c r="B25" s="32"/>
      <c r="C25" s="33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 t="s">
        <v>56</v>
      </c>
      <c r="C28" s="1"/>
    </row>
    <row r="29" spans="1:3" ht="15">
      <c r="A29" s="1"/>
      <c r="B29" s="1" t="s">
        <v>57</v>
      </c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228" t="s">
        <v>32</v>
      </c>
      <c r="B32" s="228"/>
      <c r="C32" s="228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 t="s">
        <v>33</v>
      </c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</sheetData>
  <mergeCells count="5">
    <mergeCell ref="A2:C2"/>
    <mergeCell ref="A3:C3"/>
    <mergeCell ref="A4:C4"/>
    <mergeCell ref="A32:C32"/>
    <mergeCell ref="A5:C5"/>
  </mergeCells>
  <printOptions gridLines="1"/>
  <pageMargins left="0.94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pane xSplit="2" ySplit="8" topLeftCell="C9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33203125" defaultRowHeight="12.75"/>
  <cols>
    <col min="1" max="1" width="6.66015625" style="2" customWidth="1"/>
    <col min="2" max="2" width="64.83203125" style="2" customWidth="1"/>
    <col min="3" max="3" width="18.16015625" style="2" customWidth="1"/>
    <col min="4" max="4" width="10.66015625" style="2" customWidth="1"/>
    <col min="5" max="5" width="12" style="2" customWidth="1"/>
    <col min="6" max="16384" width="9.33203125" style="2" customWidth="1"/>
  </cols>
  <sheetData>
    <row r="1" spans="1:3" ht="15">
      <c r="A1" s="1"/>
      <c r="B1" s="1"/>
      <c r="C1" s="1"/>
    </row>
    <row r="2" spans="1:3" s="13" customFormat="1" ht="18.75">
      <c r="A2" s="227" t="s">
        <v>46</v>
      </c>
      <c r="B2" s="227"/>
      <c r="C2" s="227"/>
    </row>
    <row r="3" spans="1:3" ht="15">
      <c r="A3" s="228" t="s">
        <v>47</v>
      </c>
      <c r="B3" s="228"/>
      <c r="C3" s="228"/>
    </row>
    <row r="4" spans="1:3" s="27" customFormat="1" ht="15">
      <c r="A4" s="229" t="s">
        <v>4</v>
      </c>
      <c r="B4" s="229"/>
      <c r="C4" s="229"/>
    </row>
    <row r="5" spans="1:3" ht="15">
      <c r="A5" s="228" t="s">
        <v>52</v>
      </c>
      <c r="B5" s="228"/>
      <c r="C5" s="228"/>
    </row>
    <row r="6" spans="1:3" ht="15">
      <c r="A6" s="1"/>
      <c r="B6" s="1"/>
      <c r="C6" s="1"/>
    </row>
    <row r="7" spans="1:3" ht="15">
      <c r="A7" s="3" t="s">
        <v>1</v>
      </c>
      <c r="B7" s="4" t="s">
        <v>2</v>
      </c>
      <c r="C7" s="5" t="s">
        <v>3</v>
      </c>
    </row>
    <row r="8" spans="1:3" ht="15">
      <c r="A8" s="6"/>
      <c r="B8" s="7"/>
      <c r="C8" s="8"/>
    </row>
    <row r="9" spans="1:3" ht="15">
      <c r="A9" s="18"/>
      <c r="B9" s="14"/>
      <c r="C9" s="18"/>
    </row>
    <row r="10" spans="1:5" s="10" customFormat="1" ht="14.25">
      <c r="A10" s="19">
        <v>1</v>
      </c>
      <c r="B10" s="15" t="s">
        <v>48</v>
      </c>
      <c r="C10" s="34">
        <v>195560</v>
      </c>
      <c r="E10" s="10">
        <f>23*1686*8</f>
        <v>310224</v>
      </c>
    </row>
    <row r="11" spans="1:3" ht="15">
      <c r="A11" s="21"/>
      <c r="B11" s="16"/>
      <c r="C11" s="21"/>
    </row>
    <row r="12" spans="1:3" s="10" customFormat="1" ht="14.25">
      <c r="A12" s="19">
        <v>2</v>
      </c>
      <c r="B12" s="15" t="s">
        <v>49</v>
      </c>
      <c r="C12" s="34">
        <f>SUM(C13:C15)+C21</f>
        <v>27407.73</v>
      </c>
    </row>
    <row r="13" spans="1:3" s="27" customFormat="1" ht="15">
      <c r="A13" s="28">
        <v>1</v>
      </c>
      <c r="B13" s="29" t="s">
        <v>6</v>
      </c>
      <c r="C13" s="30">
        <v>3339.88</v>
      </c>
    </row>
    <row r="14" spans="1:3" s="27" customFormat="1" ht="15">
      <c r="A14" s="28">
        <v>2</v>
      </c>
      <c r="B14" s="29" t="s">
        <v>25</v>
      </c>
      <c r="C14" s="30">
        <v>3207.85</v>
      </c>
    </row>
    <row r="15" spans="1:3" s="27" customFormat="1" ht="15">
      <c r="A15" s="28">
        <v>3</v>
      </c>
      <c r="B15" s="29" t="s">
        <v>9</v>
      </c>
      <c r="C15" s="30">
        <f>SUM(C16:C19)</f>
        <v>0</v>
      </c>
    </row>
    <row r="16" spans="1:3" ht="15">
      <c r="A16" s="20" t="s">
        <v>41</v>
      </c>
      <c r="B16" s="16" t="s">
        <v>10</v>
      </c>
      <c r="C16" s="24"/>
    </row>
    <row r="17" spans="1:3" ht="15">
      <c r="A17" s="35" t="s">
        <v>42</v>
      </c>
      <c r="B17" s="36" t="s">
        <v>11</v>
      </c>
      <c r="C17" s="24"/>
    </row>
    <row r="18" spans="1:3" ht="15">
      <c r="A18" s="35" t="s">
        <v>43</v>
      </c>
      <c r="B18" s="36" t="s">
        <v>54</v>
      </c>
      <c r="C18" s="24"/>
    </row>
    <row r="19" spans="1:3" ht="15">
      <c r="A19" s="35" t="s">
        <v>44</v>
      </c>
      <c r="B19" s="36" t="s">
        <v>15</v>
      </c>
      <c r="C19" s="24"/>
    </row>
    <row r="20" spans="1:3" ht="15">
      <c r="A20" s="35"/>
      <c r="B20" s="36" t="s">
        <v>18</v>
      </c>
      <c r="C20" s="24"/>
    </row>
    <row r="21" spans="1:3" s="10" customFormat="1" ht="14.25">
      <c r="A21" s="37">
        <v>4</v>
      </c>
      <c r="B21" s="38" t="s">
        <v>55</v>
      </c>
      <c r="C21" s="23">
        <v>20860</v>
      </c>
    </row>
    <row r="22" spans="1:3" ht="15">
      <c r="A22" s="21"/>
      <c r="B22" s="16"/>
      <c r="C22" s="25"/>
    </row>
    <row r="23" spans="1:3" s="10" customFormat="1" ht="14.25">
      <c r="A23" s="19">
        <v>5</v>
      </c>
      <c r="B23" s="15" t="s">
        <v>50</v>
      </c>
      <c r="C23" s="34">
        <f>C10-C12</f>
        <v>168152.27</v>
      </c>
    </row>
    <row r="24" spans="1:3" ht="15">
      <c r="A24" s="21"/>
      <c r="B24" s="16"/>
      <c r="C24" s="25"/>
    </row>
    <row r="25" spans="1:3" s="10" customFormat="1" ht="14.25">
      <c r="A25" s="31"/>
      <c r="B25" s="32"/>
      <c r="C25" s="33"/>
    </row>
    <row r="26" spans="1:3" ht="15">
      <c r="A26" s="1"/>
      <c r="B26" s="1"/>
      <c r="C26" s="1"/>
    </row>
    <row r="27" spans="1:3" ht="15">
      <c r="A27" s="1"/>
      <c r="B27" s="1" t="s">
        <v>58</v>
      </c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228" t="s">
        <v>32</v>
      </c>
      <c r="B32" s="228"/>
      <c r="C32" s="228"/>
    </row>
    <row r="33" spans="1:3" ht="15">
      <c r="A33" s="1"/>
      <c r="B33" s="1"/>
      <c r="C33" s="1"/>
    </row>
    <row r="34" spans="1:3" ht="15">
      <c r="A34" s="1"/>
      <c r="B34" s="1"/>
      <c r="C34" s="1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 t="s">
        <v>33</v>
      </c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</sheetData>
  <mergeCells count="5">
    <mergeCell ref="A2:C2"/>
    <mergeCell ref="A3:C3"/>
    <mergeCell ref="A4:C4"/>
    <mergeCell ref="A32:C32"/>
    <mergeCell ref="A5:C5"/>
  </mergeCells>
  <printOptions gridLines="1"/>
  <pageMargins left="0.9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pane xSplit="2" ySplit="8" topLeftCell="C9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33203125" defaultRowHeight="12.75"/>
  <cols>
    <col min="1" max="1" width="6.66015625" style="2" customWidth="1"/>
    <col min="2" max="2" width="64.83203125" style="2" customWidth="1"/>
    <col min="3" max="3" width="18.16015625" style="2" customWidth="1"/>
    <col min="4" max="16384" width="9.33203125" style="2" customWidth="1"/>
  </cols>
  <sheetData>
    <row r="1" spans="1:3" ht="15">
      <c r="A1" s="1"/>
      <c r="B1" s="1"/>
      <c r="C1" s="1"/>
    </row>
    <row r="2" spans="1:3" s="13" customFormat="1" ht="18.75">
      <c r="A2" s="227" t="s">
        <v>0</v>
      </c>
      <c r="B2" s="227"/>
      <c r="C2" s="227"/>
    </row>
    <row r="3" spans="1:3" ht="15">
      <c r="A3" s="228" t="s">
        <v>5</v>
      </c>
      <c r="B3" s="228"/>
      <c r="C3" s="228"/>
    </row>
    <row r="4" spans="1:3" s="27" customFormat="1" ht="15">
      <c r="A4" s="229" t="s">
        <v>4</v>
      </c>
      <c r="B4" s="229"/>
      <c r="C4" s="229"/>
    </row>
    <row r="5" spans="1:3" ht="15">
      <c r="A5" s="228" t="s">
        <v>34</v>
      </c>
      <c r="B5" s="228"/>
      <c r="C5" s="228"/>
    </row>
    <row r="6" spans="1:3" ht="15">
      <c r="A6" s="1"/>
      <c r="B6" s="1"/>
      <c r="C6" s="1"/>
    </row>
    <row r="7" spans="1:3" ht="15">
      <c r="A7" s="3" t="s">
        <v>1</v>
      </c>
      <c r="B7" s="4" t="s">
        <v>2</v>
      </c>
      <c r="C7" s="5" t="s">
        <v>3</v>
      </c>
    </row>
    <row r="8" spans="1:3" ht="15">
      <c r="A8" s="6"/>
      <c r="B8" s="7"/>
      <c r="C8" s="8"/>
    </row>
    <row r="9" spans="1:3" ht="15">
      <c r="A9" s="18"/>
      <c r="B9" s="14"/>
      <c r="C9" s="18"/>
    </row>
    <row r="10" spans="1:5" s="10" customFormat="1" ht="14.25">
      <c r="A10" s="19">
        <v>1</v>
      </c>
      <c r="B10" s="15" t="s">
        <v>6</v>
      </c>
      <c r="C10" s="23">
        <v>6006.99</v>
      </c>
      <c r="E10" s="10">
        <f>C10/3</f>
        <v>2002.33</v>
      </c>
    </row>
    <row r="11" spans="1:3" s="10" customFormat="1" ht="14.25">
      <c r="A11" s="19">
        <v>2</v>
      </c>
      <c r="B11" s="15" t="s">
        <v>7</v>
      </c>
      <c r="C11" s="23"/>
    </row>
    <row r="12" spans="1:3" s="10" customFormat="1" ht="14.25">
      <c r="A12" s="19">
        <v>3</v>
      </c>
      <c r="B12" s="15" t="s">
        <v>24</v>
      </c>
      <c r="C12" s="23"/>
    </row>
    <row r="13" spans="1:3" s="10" customFormat="1" ht="14.25">
      <c r="A13" s="19">
        <v>4</v>
      </c>
      <c r="B13" s="15" t="s">
        <v>25</v>
      </c>
      <c r="C13" s="23">
        <v>46880.45</v>
      </c>
    </row>
    <row r="14" spans="1:3" s="10" customFormat="1" ht="14.25">
      <c r="A14" s="19">
        <v>5</v>
      </c>
      <c r="B14" s="15" t="s">
        <v>35</v>
      </c>
      <c r="C14" s="23">
        <f>C15+C16</f>
        <v>4451.360000000001</v>
      </c>
    </row>
    <row r="15" spans="1:3" s="27" customFormat="1" ht="15">
      <c r="A15" s="28"/>
      <c r="B15" s="29" t="s">
        <v>37</v>
      </c>
      <c r="C15" s="30">
        <v>147.89</v>
      </c>
    </row>
    <row r="16" spans="1:3" s="27" customFormat="1" ht="15">
      <c r="A16" s="28"/>
      <c r="B16" s="29" t="s">
        <v>8</v>
      </c>
      <c r="C16" s="30">
        <v>4303.47</v>
      </c>
    </row>
    <row r="17" spans="1:6" s="10" customFormat="1" ht="15">
      <c r="A17" s="19">
        <v>6</v>
      </c>
      <c r="B17" s="15" t="s">
        <v>9</v>
      </c>
      <c r="C17" s="23">
        <f>SUM(C18:C22)+C27</f>
        <v>386614.32</v>
      </c>
      <c r="F17" s="27"/>
    </row>
    <row r="18" spans="1:6" ht="15">
      <c r="A18" s="20" t="s">
        <v>26</v>
      </c>
      <c r="B18" s="16" t="s">
        <v>10</v>
      </c>
      <c r="C18" s="24">
        <v>13.32</v>
      </c>
      <c r="F18" s="10"/>
    </row>
    <row r="19" spans="1:3" ht="15">
      <c r="A19" s="20" t="s">
        <v>27</v>
      </c>
      <c r="B19" s="16" t="s">
        <v>11</v>
      </c>
      <c r="C19" s="24">
        <v>385560</v>
      </c>
    </row>
    <row r="20" spans="1:3" ht="15" hidden="1">
      <c r="A20" s="20" t="s">
        <v>28</v>
      </c>
      <c r="B20" s="16" t="s">
        <v>12</v>
      </c>
      <c r="C20" s="24"/>
    </row>
    <row r="21" spans="1:3" ht="15">
      <c r="A21" s="20" t="s">
        <v>28</v>
      </c>
      <c r="B21" s="16" t="s">
        <v>36</v>
      </c>
      <c r="C21" s="24">
        <v>1041</v>
      </c>
    </row>
    <row r="22" spans="1:3" ht="15" hidden="1">
      <c r="A22" s="20" t="s">
        <v>30</v>
      </c>
      <c r="B22" s="16" t="s">
        <v>15</v>
      </c>
      <c r="C22" s="24">
        <f>SUM(C23:C26)</f>
        <v>0</v>
      </c>
    </row>
    <row r="23" spans="1:5" ht="15" hidden="1">
      <c r="A23" s="20"/>
      <c r="B23" s="16" t="s">
        <v>16</v>
      </c>
      <c r="C23" s="25"/>
      <c r="E23" s="11"/>
    </row>
    <row r="24" spans="1:3" ht="15" hidden="1">
      <c r="A24" s="20"/>
      <c r="B24" s="16" t="s">
        <v>17</v>
      </c>
      <c r="C24" s="25"/>
    </row>
    <row r="25" spans="1:3" ht="15" hidden="1">
      <c r="A25" s="20"/>
      <c r="B25" s="16" t="s">
        <v>18</v>
      </c>
      <c r="C25" s="25"/>
    </row>
    <row r="26" spans="1:3" ht="15" hidden="1">
      <c r="A26" s="21"/>
      <c r="B26" s="16" t="s">
        <v>19</v>
      </c>
      <c r="C26" s="25"/>
    </row>
    <row r="27" spans="1:3" ht="15" hidden="1">
      <c r="A27" s="20" t="s">
        <v>31</v>
      </c>
      <c r="B27" s="16" t="s">
        <v>20</v>
      </c>
      <c r="C27" s="25">
        <f>SUM(C28:C30)</f>
        <v>0</v>
      </c>
    </row>
    <row r="28" spans="1:5" ht="15" hidden="1">
      <c r="A28" s="21"/>
      <c r="B28" s="16" t="s">
        <v>21</v>
      </c>
      <c r="C28" s="25"/>
      <c r="E28" s="11"/>
    </row>
    <row r="29" spans="1:3" ht="15" hidden="1">
      <c r="A29" s="21"/>
      <c r="B29" s="16" t="s">
        <v>22</v>
      </c>
      <c r="C29" s="25"/>
    </row>
    <row r="30" spans="1:3" ht="15" hidden="1">
      <c r="A30" s="21"/>
      <c r="B30" s="16" t="s">
        <v>23</v>
      </c>
      <c r="C30" s="25"/>
    </row>
    <row r="31" spans="1:3" ht="15">
      <c r="A31" s="21"/>
      <c r="B31" s="16"/>
      <c r="C31" s="25"/>
    </row>
    <row r="32" spans="1:5" s="9" customFormat="1" ht="14.25">
      <c r="A32" s="22"/>
      <c r="B32" s="17" t="s">
        <v>13</v>
      </c>
      <c r="C32" s="26">
        <f>C10+C13+C14+C17</f>
        <v>443953.12</v>
      </c>
      <c r="E32" s="12"/>
    </row>
    <row r="33" spans="1:3" ht="15">
      <c r="A33" s="21">
        <v>7</v>
      </c>
      <c r="B33" s="16" t="s">
        <v>38</v>
      </c>
      <c r="C33" s="25"/>
    </row>
    <row r="34" spans="1:3" ht="15">
      <c r="A34" s="31"/>
      <c r="B34" s="32" t="s">
        <v>39</v>
      </c>
      <c r="C34" s="33">
        <f>C32+C33</f>
        <v>443953.12</v>
      </c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228" t="s">
        <v>32</v>
      </c>
      <c r="B41" s="228"/>
      <c r="C41" s="228"/>
    </row>
    <row r="42" spans="1:3" ht="15">
      <c r="A42" s="1"/>
      <c r="B42" s="1"/>
      <c r="C42" s="1"/>
    </row>
    <row r="43" spans="1:3" ht="15">
      <c r="A43" s="1"/>
      <c r="B43" s="1"/>
      <c r="C43" s="1"/>
    </row>
    <row r="44" spans="1:3" ht="15">
      <c r="A44" s="1"/>
      <c r="B44" s="1"/>
      <c r="C44" s="1"/>
    </row>
    <row r="45" spans="1:3" ht="15">
      <c r="A45" s="1"/>
      <c r="B45" s="1"/>
      <c r="C45" s="1"/>
    </row>
    <row r="46" spans="1:3" ht="15">
      <c r="A46" s="1" t="s">
        <v>33</v>
      </c>
      <c r="B46" s="1"/>
      <c r="C46" s="1"/>
    </row>
    <row r="47" spans="1:3" ht="15">
      <c r="A47" s="1"/>
      <c r="B47" s="1"/>
      <c r="C47" s="1"/>
    </row>
    <row r="48" spans="1:3" ht="15">
      <c r="A48" s="1"/>
      <c r="B48" s="1"/>
      <c r="C48" s="1"/>
    </row>
  </sheetData>
  <mergeCells count="5">
    <mergeCell ref="A2:C2"/>
    <mergeCell ref="A3:C3"/>
    <mergeCell ref="A4:C4"/>
    <mergeCell ref="A41:C41"/>
    <mergeCell ref="A5:C5"/>
  </mergeCells>
  <printOptions gridLines="1"/>
  <pageMargins left="0.94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pane xSplit="2" ySplit="8" topLeftCell="C1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33203125" defaultRowHeight="12.75"/>
  <cols>
    <col min="1" max="1" width="6.66015625" style="2" customWidth="1"/>
    <col min="2" max="2" width="64.83203125" style="2" customWidth="1"/>
    <col min="3" max="3" width="18.16015625" style="2" customWidth="1"/>
    <col min="4" max="4" width="14.16015625" style="2" customWidth="1"/>
    <col min="5" max="5" width="18.66015625" style="2" customWidth="1"/>
    <col min="6" max="6" width="12" style="2" customWidth="1"/>
    <col min="7" max="7" width="11.5" style="2" customWidth="1"/>
    <col min="8" max="16384" width="9.33203125" style="2" customWidth="1"/>
  </cols>
  <sheetData>
    <row r="1" spans="1:3" ht="15">
      <c r="A1" s="1"/>
      <c r="B1" s="1"/>
      <c r="C1" s="1"/>
    </row>
    <row r="2" spans="1:3" s="13" customFormat="1" ht="18.75">
      <c r="A2" s="227" t="s">
        <v>0</v>
      </c>
      <c r="B2" s="227"/>
      <c r="C2" s="227"/>
    </row>
    <row r="3" spans="1:3" ht="15">
      <c r="A3" s="228" t="s">
        <v>5</v>
      </c>
      <c r="B3" s="228"/>
      <c r="C3" s="228"/>
    </row>
    <row r="4" spans="1:3" s="27" customFormat="1" ht="15">
      <c r="A4" s="229" t="s">
        <v>4</v>
      </c>
      <c r="B4" s="229"/>
      <c r="C4" s="229"/>
    </row>
    <row r="5" spans="1:3" ht="15">
      <c r="A5" s="228" t="s">
        <v>146</v>
      </c>
      <c r="B5" s="228"/>
      <c r="C5" s="228"/>
    </row>
    <row r="6" spans="1:3" ht="15">
      <c r="A6" s="1"/>
      <c r="B6" s="1"/>
      <c r="C6" s="1"/>
    </row>
    <row r="7" spans="1:3" ht="15">
      <c r="A7" s="3" t="s">
        <v>1</v>
      </c>
      <c r="B7" s="4" t="s">
        <v>2</v>
      </c>
      <c r="C7" s="5" t="s">
        <v>3</v>
      </c>
    </row>
    <row r="8" spans="1:3" ht="15">
      <c r="A8" s="6"/>
      <c r="B8" s="7"/>
      <c r="C8" s="8"/>
    </row>
    <row r="9" spans="1:3" ht="15">
      <c r="A9" s="18"/>
      <c r="B9" s="14"/>
      <c r="C9" s="18"/>
    </row>
    <row r="10" spans="1:3" s="27" customFormat="1" ht="15">
      <c r="A10" s="28">
        <v>1</v>
      </c>
      <c r="B10" s="29" t="s">
        <v>6</v>
      </c>
      <c r="C10" s="132">
        <v>11209.38</v>
      </c>
    </row>
    <row r="11" spans="1:3" s="27" customFormat="1" ht="15">
      <c r="A11" s="28">
        <v>2</v>
      </c>
      <c r="B11" s="29" t="s">
        <v>7</v>
      </c>
      <c r="C11" s="132">
        <v>0</v>
      </c>
    </row>
    <row r="12" spans="1:3" s="27" customFormat="1" ht="15">
      <c r="A12" s="28">
        <v>3</v>
      </c>
      <c r="B12" s="29" t="s">
        <v>24</v>
      </c>
      <c r="C12" s="132">
        <v>0</v>
      </c>
    </row>
    <row r="13" spans="1:3" s="27" customFormat="1" ht="15">
      <c r="A13" s="28">
        <v>4</v>
      </c>
      <c r="B13" s="29" t="s">
        <v>25</v>
      </c>
      <c r="C13" s="132">
        <f>4118.86+72784.07</f>
        <v>76902.93000000001</v>
      </c>
    </row>
    <row r="14" spans="1:3" s="27" customFormat="1" ht="15">
      <c r="A14" s="28">
        <v>5</v>
      </c>
      <c r="B14" s="29" t="s">
        <v>35</v>
      </c>
      <c r="C14" s="132">
        <f>C15+C16</f>
        <v>32311.9</v>
      </c>
    </row>
    <row r="15" spans="1:3" s="27" customFormat="1" ht="15">
      <c r="A15" s="28"/>
      <c r="B15" s="29" t="s">
        <v>8</v>
      </c>
      <c r="C15" s="132">
        <v>31843.93</v>
      </c>
    </row>
    <row r="16" spans="1:3" s="27" customFormat="1" ht="15">
      <c r="A16" s="28"/>
      <c r="B16" s="29" t="s">
        <v>147</v>
      </c>
      <c r="C16" s="132">
        <f>282.56+185.41</f>
        <v>467.97</v>
      </c>
    </row>
    <row r="17" spans="1:6" s="10" customFormat="1" ht="15">
      <c r="A17" s="19">
        <v>6</v>
      </c>
      <c r="B17" s="15" t="s">
        <v>9</v>
      </c>
      <c r="C17" s="135">
        <f>SUM(C18:C23)</f>
        <v>1260216.99</v>
      </c>
      <c r="F17" s="27"/>
    </row>
    <row r="18" spans="1:6" ht="15">
      <c r="A18" s="20" t="s">
        <v>26</v>
      </c>
      <c r="B18" s="16" t="s">
        <v>10</v>
      </c>
      <c r="C18" s="133">
        <v>39.96</v>
      </c>
      <c r="F18" s="10"/>
    </row>
    <row r="19" spans="1:3" ht="15">
      <c r="A19" s="20" t="s">
        <v>27</v>
      </c>
      <c r="B19" s="16" t="s">
        <v>11</v>
      </c>
      <c r="C19" s="133">
        <f>775404+394128</f>
        <v>1169532</v>
      </c>
    </row>
    <row r="20" spans="1:3" ht="15">
      <c r="A20" s="20" t="s">
        <v>28</v>
      </c>
      <c r="B20" s="16" t="s">
        <v>12</v>
      </c>
      <c r="C20" s="133">
        <v>5708.45</v>
      </c>
    </row>
    <row r="21" spans="1:3" ht="15">
      <c r="A21" s="20" t="s">
        <v>28</v>
      </c>
      <c r="B21" s="16" t="s">
        <v>36</v>
      </c>
      <c r="C21" s="133">
        <f>2753+1727</f>
        <v>4480</v>
      </c>
    </row>
    <row r="22" spans="1:3" s="27" customFormat="1" ht="15">
      <c r="A22" s="130" t="s">
        <v>29</v>
      </c>
      <c r="B22" s="29" t="s">
        <v>149</v>
      </c>
      <c r="C22" s="132">
        <v>0</v>
      </c>
    </row>
    <row r="23" spans="1:5" ht="15">
      <c r="A23" s="130" t="s">
        <v>30</v>
      </c>
      <c r="B23" s="16" t="s">
        <v>148</v>
      </c>
      <c r="C23" s="134">
        <v>80456.58</v>
      </c>
      <c r="E23" s="11"/>
    </row>
    <row r="24" spans="1:3" s="27" customFormat="1" ht="15">
      <c r="A24" s="130"/>
      <c r="B24" s="29"/>
      <c r="C24" s="64"/>
    </row>
    <row r="25" spans="1:5" s="9" customFormat="1" ht="14.25">
      <c r="A25" s="22"/>
      <c r="B25" s="17" t="s">
        <v>13</v>
      </c>
      <c r="C25" s="136">
        <f>C10+C13+C14+C17+C11+C12</f>
        <v>1380641.2</v>
      </c>
      <c r="D25" s="12"/>
      <c r="E25" s="138">
        <f>900025.35+480615.85</f>
        <v>1380641.2</v>
      </c>
    </row>
    <row r="26" spans="1:4" ht="15">
      <c r="A26" s="21">
        <v>7</v>
      </c>
      <c r="B26" s="16" t="s">
        <v>38</v>
      </c>
      <c r="C26" s="145">
        <f>412758+17852</f>
        <v>430610</v>
      </c>
      <c r="D26" s="144"/>
    </row>
    <row r="27" spans="1:3" ht="15">
      <c r="A27" s="31"/>
      <c r="B27" s="32" t="s">
        <v>39</v>
      </c>
      <c r="C27" s="137">
        <f>C25+C26</f>
        <v>1811251.2</v>
      </c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  <row r="34" spans="1:3" ht="15">
      <c r="A34" s="228" t="s">
        <v>32</v>
      </c>
      <c r="B34" s="228"/>
      <c r="C34" s="228"/>
    </row>
    <row r="35" spans="1:3" ht="15">
      <c r="A35" s="1"/>
      <c r="B35" s="1"/>
      <c r="C35" s="1"/>
    </row>
    <row r="36" spans="1:3" ht="15">
      <c r="A36" s="1"/>
      <c r="B36" s="1"/>
      <c r="C36" s="1"/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 t="s">
        <v>33</v>
      </c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mergeCells count="5">
    <mergeCell ref="A2:C2"/>
    <mergeCell ref="A3:C3"/>
    <mergeCell ref="A4:C4"/>
    <mergeCell ref="A34:C34"/>
    <mergeCell ref="A5:C5"/>
  </mergeCells>
  <printOptions gridLines="1"/>
  <pageMargins left="0.94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pane xSplit="2" ySplit="8" topLeftCell="C9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33203125" defaultRowHeight="12.75"/>
  <cols>
    <col min="1" max="1" width="11.83203125" style="0" customWidth="1"/>
    <col min="2" max="2" width="66.66015625" style="0" customWidth="1"/>
    <col min="3" max="3" width="19.16015625" style="0" customWidth="1"/>
    <col min="4" max="4" width="18.33203125" style="0" customWidth="1"/>
  </cols>
  <sheetData>
    <row r="1" spans="1:3" ht="12.75">
      <c r="A1" s="45"/>
      <c r="B1" s="45"/>
      <c r="C1" s="45"/>
    </row>
    <row r="2" spans="1:3" s="48" customFormat="1" ht="18.75">
      <c r="A2" s="230" t="s">
        <v>60</v>
      </c>
      <c r="B2" s="230"/>
      <c r="C2" s="230"/>
    </row>
    <row r="3" spans="1:3" s="27" customFormat="1" ht="15">
      <c r="A3" s="229" t="s">
        <v>133</v>
      </c>
      <c r="B3" s="229"/>
      <c r="C3" s="229"/>
    </row>
    <row r="4" spans="1:3" s="27" customFormat="1" ht="15">
      <c r="A4" s="229" t="s">
        <v>145</v>
      </c>
      <c r="B4" s="229"/>
      <c r="C4" s="229"/>
    </row>
    <row r="5" spans="1:3" s="27" customFormat="1" ht="15">
      <c r="A5" s="49"/>
      <c r="B5" s="49"/>
      <c r="C5" s="49"/>
    </row>
    <row r="6" spans="1:3" ht="12.75">
      <c r="A6" s="45"/>
      <c r="B6" s="45"/>
      <c r="C6" s="45"/>
    </row>
    <row r="7" spans="1:3" ht="12.75">
      <c r="A7" s="46"/>
      <c r="B7" s="47"/>
      <c r="C7" s="46"/>
    </row>
    <row r="8" spans="1:3" ht="15">
      <c r="A8" s="55" t="s">
        <v>1</v>
      </c>
      <c r="B8" s="143" t="s">
        <v>61</v>
      </c>
      <c r="C8" s="54" t="s">
        <v>72</v>
      </c>
    </row>
    <row r="9" spans="1:3" ht="12.75">
      <c r="A9" s="51"/>
      <c r="B9" s="52"/>
      <c r="C9" s="51"/>
    </row>
    <row r="10" spans="1:3" s="56" customFormat="1" ht="14.25">
      <c r="A10" s="61" t="s">
        <v>70</v>
      </c>
      <c r="B10" s="57" t="s">
        <v>62</v>
      </c>
      <c r="C10" s="58">
        <f>SUM(C11:C13)</f>
        <v>1841699.946</v>
      </c>
    </row>
    <row r="11" spans="1:3" ht="15">
      <c r="A11" s="53" t="s">
        <v>63</v>
      </c>
      <c r="B11" s="16" t="s">
        <v>81</v>
      </c>
      <c r="C11" s="25">
        <f>Доходы!E87</f>
        <v>1841699.946</v>
      </c>
    </row>
    <row r="12" spans="1:3" ht="15">
      <c r="A12" s="53" t="s">
        <v>64</v>
      </c>
      <c r="B12" s="16" t="s">
        <v>66</v>
      </c>
      <c r="C12" s="21"/>
    </row>
    <row r="13" spans="1:3" ht="15">
      <c r="A13" s="53" t="s">
        <v>65</v>
      </c>
      <c r="B13" s="16" t="s">
        <v>150</v>
      </c>
      <c r="C13" s="21"/>
    </row>
    <row r="14" spans="1:3" ht="15">
      <c r="A14" s="21"/>
      <c r="B14" s="16"/>
      <c r="C14" s="21"/>
    </row>
    <row r="15" spans="1:3" ht="15">
      <c r="A15" s="21"/>
      <c r="B15" s="16"/>
      <c r="C15" s="21"/>
    </row>
    <row r="16" spans="1:5" s="56" customFormat="1" ht="14.25">
      <c r="A16" s="60" t="s">
        <v>69</v>
      </c>
      <c r="B16" s="57" t="s">
        <v>67</v>
      </c>
      <c r="C16" s="63">
        <f>SUM(C17:C21)+C24+C32</f>
        <v>2306777.0493333335</v>
      </c>
      <c r="D16" s="65"/>
      <c r="E16" s="62"/>
    </row>
    <row r="17" spans="1:3" ht="15">
      <c r="A17" s="28">
        <v>1</v>
      </c>
      <c r="B17" s="29" t="s">
        <v>6</v>
      </c>
      <c r="C17" s="30">
        <v>24262</v>
      </c>
    </row>
    <row r="18" spans="1:3" ht="15">
      <c r="A18" s="28">
        <v>2</v>
      </c>
      <c r="B18" s="29" t="s">
        <v>7</v>
      </c>
      <c r="C18" s="30">
        <f>120000</f>
        <v>120000</v>
      </c>
    </row>
    <row r="19" spans="1:3" ht="15">
      <c r="A19" s="28">
        <v>3</v>
      </c>
      <c r="B19" s="29" t="s">
        <v>24</v>
      </c>
      <c r="C19" s="30">
        <v>18000</v>
      </c>
    </row>
    <row r="20" spans="1:3" ht="15">
      <c r="A20" s="28">
        <v>4</v>
      </c>
      <c r="B20" s="29" t="s">
        <v>25</v>
      </c>
      <c r="C20" s="30">
        <f>72784.07/9*12*110%</f>
        <v>106749.96933333336</v>
      </c>
    </row>
    <row r="21" spans="1:3" s="131" customFormat="1" ht="15">
      <c r="A21" s="28">
        <v>5</v>
      </c>
      <c r="B21" s="29" t="s">
        <v>35</v>
      </c>
      <c r="C21" s="30">
        <f>C22+C23</f>
        <v>63874.8</v>
      </c>
    </row>
    <row r="22" spans="1:3" s="131" customFormat="1" ht="15">
      <c r="A22" s="28"/>
      <c r="B22" s="29" t="s">
        <v>8</v>
      </c>
      <c r="C22" s="30">
        <f>Доходы!G85*12</f>
        <v>63133.44</v>
      </c>
    </row>
    <row r="23" spans="1:3" s="131" customFormat="1" ht="15">
      <c r="A23" s="28"/>
      <c r="B23" s="29" t="s">
        <v>147</v>
      </c>
      <c r="C23" s="30">
        <f>61.78*12</f>
        <v>741.36</v>
      </c>
    </row>
    <row r="24" spans="1:3" s="41" customFormat="1" ht="14.25">
      <c r="A24" s="19">
        <v>6</v>
      </c>
      <c r="B24" s="15" t="s">
        <v>9</v>
      </c>
      <c r="C24" s="23">
        <f>SUM(C25:C30)</f>
        <v>1631985.28</v>
      </c>
    </row>
    <row r="25" spans="1:3" s="131" customFormat="1" ht="15">
      <c r="A25" s="130" t="s">
        <v>26</v>
      </c>
      <c r="B25" s="29" t="s">
        <v>10</v>
      </c>
      <c r="C25" s="30">
        <f>39.96/9*12</f>
        <v>53.28</v>
      </c>
    </row>
    <row r="26" spans="1:3" ht="15">
      <c r="A26" s="20" t="s">
        <v>27</v>
      </c>
      <c r="B26" s="16" t="s">
        <v>11</v>
      </c>
      <c r="C26" s="24">
        <f>1098*119*12</f>
        <v>1567944</v>
      </c>
    </row>
    <row r="27" spans="1:3" ht="15">
      <c r="A27" s="20" t="s">
        <v>28</v>
      </c>
      <c r="B27" s="16" t="s">
        <v>12</v>
      </c>
      <c r="C27" s="24">
        <v>8000</v>
      </c>
    </row>
    <row r="28" spans="1:3" ht="15">
      <c r="A28" s="20" t="s">
        <v>28</v>
      </c>
      <c r="B28" s="16" t="s">
        <v>36</v>
      </c>
      <c r="C28" s="24">
        <v>4788</v>
      </c>
    </row>
    <row r="29" spans="1:3" ht="15">
      <c r="A29" s="130" t="s">
        <v>30</v>
      </c>
      <c r="B29" s="29" t="s">
        <v>149</v>
      </c>
      <c r="C29" s="30">
        <v>50000</v>
      </c>
    </row>
    <row r="30" spans="1:3" ht="15">
      <c r="A30" s="130" t="s">
        <v>31</v>
      </c>
      <c r="B30" s="16" t="s">
        <v>21</v>
      </c>
      <c r="C30" s="25">
        <v>1200</v>
      </c>
    </row>
    <row r="31" spans="1:3" ht="15">
      <c r="A31" s="20"/>
      <c r="B31" s="16"/>
      <c r="C31" s="25"/>
    </row>
    <row r="32" spans="1:3" s="41" customFormat="1" ht="14.25">
      <c r="A32" s="19">
        <v>7</v>
      </c>
      <c r="B32" s="15" t="s">
        <v>73</v>
      </c>
      <c r="C32" s="34">
        <f>SUM(C33:C36)</f>
        <v>341905</v>
      </c>
    </row>
    <row r="33" spans="1:3" ht="15">
      <c r="A33" s="40" t="s">
        <v>74</v>
      </c>
      <c r="B33" s="29" t="s">
        <v>38</v>
      </c>
      <c r="C33" s="64">
        <f>341905</f>
        <v>341905</v>
      </c>
    </row>
    <row r="34" spans="1:3" ht="15">
      <c r="A34" s="40" t="s">
        <v>75</v>
      </c>
      <c r="B34" s="29" t="s">
        <v>151</v>
      </c>
      <c r="C34" s="64">
        <v>0</v>
      </c>
    </row>
    <row r="35" spans="1:3" ht="15">
      <c r="A35" s="40" t="s">
        <v>76</v>
      </c>
      <c r="B35" s="29" t="s">
        <v>77</v>
      </c>
      <c r="C35" s="34"/>
    </row>
    <row r="36" spans="1:3" ht="15">
      <c r="A36" s="40" t="s">
        <v>78</v>
      </c>
      <c r="B36" s="29" t="s">
        <v>79</v>
      </c>
      <c r="C36" s="34"/>
    </row>
    <row r="37" spans="1:3" ht="15">
      <c r="A37" s="21"/>
      <c r="B37" s="16"/>
      <c r="C37" s="25"/>
    </row>
    <row r="38" spans="1:3" s="59" customFormat="1" ht="14.25">
      <c r="A38" s="61" t="s">
        <v>71</v>
      </c>
      <c r="B38" s="57" t="s">
        <v>68</v>
      </c>
      <c r="C38" s="58">
        <f>C10-C16</f>
        <v>-465077.1033333335</v>
      </c>
    </row>
    <row r="39" spans="1:3" ht="15">
      <c r="A39" s="21"/>
      <c r="B39" s="16"/>
      <c r="C39" s="25"/>
    </row>
    <row r="40" spans="1:3" ht="14.25">
      <c r="A40" s="31"/>
      <c r="B40" s="42"/>
      <c r="C40" s="44"/>
    </row>
  </sheetData>
  <mergeCells count="3">
    <mergeCell ref="A2:C2"/>
    <mergeCell ref="A3:C3"/>
    <mergeCell ref="A4:C4"/>
  </mergeCells>
  <printOptions gridLines="1"/>
  <pageMargins left="0.47" right="0.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2" sqref="C32"/>
    </sheetView>
  </sheetViews>
  <sheetFormatPr defaultColWidth="9.33203125" defaultRowHeight="12.75"/>
  <cols>
    <col min="1" max="1" width="11.83203125" style="150" customWidth="1"/>
    <col min="2" max="2" width="66.66015625" style="150" customWidth="1"/>
    <col min="3" max="3" width="21.16015625" style="150" customWidth="1"/>
    <col min="4" max="4" width="18.33203125" style="150" customWidth="1"/>
    <col min="5" max="16384" width="9.33203125" style="150" customWidth="1"/>
  </cols>
  <sheetData>
    <row r="1" spans="1:3" s="147" customFormat="1" ht="12.75">
      <c r="A1" s="146"/>
      <c r="B1" s="146"/>
      <c r="C1" s="146"/>
    </row>
    <row r="2" spans="1:3" s="148" customFormat="1" ht="18.75">
      <c r="A2" s="227" t="s">
        <v>60</v>
      </c>
      <c r="B2" s="227"/>
      <c r="C2" s="227"/>
    </row>
    <row r="3" spans="1:3" s="2" customFormat="1" ht="15">
      <c r="A3" s="228" t="s">
        <v>133</v>
      </c>
      <c r="B3" s="228"/>
      <c r="C3" s="228"/>
    </row>
    <row r="4" spans="1:3" s="2" customFormat="1" ht="15">
      <c r="A4" s="228" t="s">
        <v>145</v>
      </c>
      <c r="B4" s="228"/>
      <c r="C4" s="228"/>
    </row>
    <row r="5" spans="1:3" s="2" customFormat="1" ht="15">
      <c r="A5" s="1"/>
      <c r="B5" s="1"/>
      <c r="C5" s="1"/>
    </row>
    <row r="6" spans="1:3" ht="12.75">
      <c r="A6" s="149"/>
      <c r="B6" s="149"/>
      <c r="C6" s="149"/>
    </row>
    <row r="7" spans="1:3" ht="12.75">
      <c r="A7" s="151"/>
      <c r="B7" s="152"/>
      <c r="C7" s="151"/>
    </row>
    <row r="8" spans="1:3" ht="15">
      <c r="A8" s="55" t="s">
        <v>1</v>
      </c>
      <c r="B8" s="143" t="s">
        <v>61</v>
      </c>
      <c r="C8" s="54" t="s">
        <v>72</v>
      </c>
    </row>
    <row r="9" spans="1:3" ht="12.75">
      <c r="A9" s="153"/>
      <c r="B9" s="154"/>
      <c r="C9" s="153"/>
    </row>
    <row r="10" spans="1:3" s="156" customFormat="1" ht="14.25">
      <c r="A10" s="155" t="s">
        <v>70</v>
      </c>
      <c r="B10" s="17" t="s">
        <v>62</v>
      </c>
      <c r="C10" s="26">
        <f>SUM(C11:C13)</f>
        <v>5632092.568861818</v>
      </c>
    </row>
    <row r="11" spans="1:3" ht="15">
      <c r="A11" s="53" t="s">
        <v>63</v>
      </c>
      <c r="B11" s="16" t="s">
        <v>81</v>
      </c>
      <c r="C11" s="25">
        <f>C23+C54</f>
        <v>1653834.4700000002</v>
      </c>
    </row>
    <row r="12" spans="1:3" ht="15">
      <c r="A12" s="53" t="s">
        <v>64</v>
      </c>
      <c r="B12" s="16" t="s">
        <v>66</v>
      </c>
      <c r="C12" s="25">
        <f>C16-C11</f>
        <v>3976997.081333333</v>
      </c>
    </row>
    <row r="13" spans="1:3" ht="15">
      <c r="A13" s="53"/>
      <c r="B13" s="16" t="s">
        <v>183</v>
      </c>
      <c r="C13" s="169">
        <f>C12/Доходы!D87</f>
        <v>1261.0175284841564</v>
      </c>
    </row>
    <row r="14" spans="1:3" ht="15">
      <c r="A14" s="21"/>
      <c r="B14" s="16" t="s">
        <v>184</v>
      </c>
      <c r="C14" s="169">
        <f>C13/12</f>
        <v>105.08479404034637</v>
      </c>
    </row>
    <row r="15" spans="1:3" ht="15">
      <c r="A15" s="21"/>
      <c r="B15" s="16"/>
      <c r="C15" s="21"/>
    </row>
    <row r="16" spans="1:5" s="156" customFormat="1" ht="14.25">
      <c r="A16" s="157" t="s">
        <v>69</v>
      </c>
      <c r="B16" s="17" t="s">
        <v>67</v>
      </c>
      <c r="C16" s="158">
        <f>C17+C23+C28</f>
        <v>5630831.551333333</v>
      </c>
      <c r="D16" s="159"/>
      <c r="E16" s="160"/>
    </row>
    <row r="17" spans="1:5" s="156" customFormat="1" ht="14.25">
      <c r="A17" s="157" t="s">
        <v>153</v>
      </c>
      <c r="B17" s="17" t="s">
        <v>152</v>
      </c>
      <c r="C17" s="158">
        <f>C18+C19+C20+C21</f>
        <v>985704</v>
      </c>
      <c r="D17" s="159"/>
      <c r="E17" s="160"/>
    </row>
    <row r="18" spans="1:5" s="156" customFormat="1" ht="15">
      <c r="A18" s="157"/>
      <c r="B18" s="16" t="s">
        <v>154</v>
      </c>
      <c r="C18" s="30">
        <f>30000*12</f>
        <v>360000</v>
      </c>
      <c r="D18" s="159"/>
      <c r="E18" s="160"/>
    </row>
    <row r="19" spans="1:5" s="156" customFormat="1" ht="15">
      <c r="A19" s="157"/>
      <c r="B19" s="16" t="s">
        <v>155</v>
      </c>
      <c r="C19" s="30">
        <f>25000*12</f>
        <v>300000</v>
      </c>
      <c r="D19" s="159"/>
      <c r="E19" s="160"/>
    </row>
    <row r="20" spans="1:5" s="156" customFormat="1" ht="15">
      <c r="A20" s="157"/>
      <c r="B20" s="16" t="s">
        <v>156</v>
      </c>
      <c r="C20" s="24">
        <f>14261*12</f>
        <v>171132</v>
      </c>
      <c r="D20" s="159"/>
      <c r="E20" s="160"/>
    </row>
    <row r="21" spans="1:5" s="156" customFormat="1" ht="15">
      <c r="A21" s="157"/>
      <c r="B21" s="16" t="s">
        <v>157</v>
      </c>
      <c r="C21" s="24">
        <f>12881*12</f>
        <v>154572</v>
      </c>
      <c r="D21" s="159"/>
      <c r="E21" s="160"/>
    </row>
    <row r="22" spans="1:5" s="156" customFormat="1" ht="30">
      <c r="A22" s="157" t="s">
        <v>158</v>
      </c>
      <c r="B22" s="16" t="s">
        <v>159</v>
      </c>
      <c r="C22" s="161" t="s">
        <v>160</v>
      </c>
      <c r="D22" s="159"/>
      <c r="E22" s="160"/>
    </row>
    <row r="23" spans="1:5" s="156" customFormat="1" ht="14.25">
      <c r="A23" s="157" t="s">
        <v>161</v>
      </c>
      <c r="B23" s="15" t="s">
        <v>162</v>
      </c>
      <c r="C23" s="158">
        <f>C24+C25+C26+C27</f>
        <v>1329781.4700000002</v>
      </c>
      <c r="D23" s="159"/>
      <c r="E23" s="160"/>
    </row>
    <row r="24" spans="1:5" s="156" customFormat="1" ht="15">
      <c r="A24" s="157"/>
      <c r="B24" s="16" t="s">
        <v>163</v>
      </c>
      <c r="C24" s="24">
        <f>Доходы!O85*12</f>
        <v>192493.49999999997</v>
      </c>
      <c r="D24" s="159"/>
      <c r="E24" s="160"/>
    </row>
    <row r="25" spans="1:5" s="156" customFormat="1" ht="15">
      <c r="A25" s="157"/>
      <c r="B25" s="16" t="s">
        <v>164</v>
      </c>
      <c r="C25" s="24">
        <f>Доходы!K85*12</f>
        <v>626319.33</v>
      </c>
      <c r="D25" s="159"/>
      <c r="E25" s="160"/>
    </row>
    <row r="26" spans="1:5" s="156" customFormat="1" ht="15">
      <c r="A26" s="157"/>
      <c r="B26" s="16" t="s">
        <v>165</v>
      </c>
      <c r="C26" s="24">
        <f>Доходы!L85*12</f>
        <v>415364.04000000004</v>
      </c>
      <c r="D26" s="159"/>
      <c r="E26" s="160"/>
    </row>
    <row r="27" spans="1:5" s="156" customFormat="1" ht="15">
      <c r="A27" s="157"/>
      <c r="B27" s="16" t="s">
        <v>182</v>
      </c>
      <c r="C27" s="24">
        <f>Доходы!N87</f>
        <v>95604.59999999998</v>
      </c>
      <c r="D27" s="159"/>
      <c r="E27" s="160"/>
    </row>
    <row r="28" spans="1:5" s="156" customFormat="1" ht="14.25">
      <c r="A28" s="157" t="s">
        <v>166</v>
      </c>
      <c r="B28" s="15" t="s">
        <v>167</v>
      </c>
      <c r="C28" s="158">
        <f>C29+C30+C31+C34+C35+C51</f>
        <v>3315346.081333333</v>
      </c>
      <c r="D28" s="159"/>
      <c r="E28" s="160"/>
    </row>
    <row r="29" spans="1:3" ht="15">
      <c r="A29" s="21">
        <v>1</v>
      </c>
      <c r="B29" s="16" t="s">
        <v>6</v>
      </c>
      <c r="C29" s="24">
        <v>24262</v>
      </c>
    </row>
    <row r="30" spans="1:3" ht="30">
      <c r="A30" s="21">
        <v>2</v>
      </c>
      <c r="B30" s="165" t="s">
        <v>177</v>
      </c>
      <c r="C30" s="24">
        <f>5000+15000+20000</f>
        <v>40000</v>
      </c>
    </row>
    <row r="31" spans="1:3" ht="15">
      <c r="A31" s="21">
        <v>3</v>
      </c>
      <c r="B31" s="16" t="s">
        <v>24</v>
      </c>
      <c r="C31" s="24">
        <f>C32+C33</f>
        <v>47250</v>
      </c>
    </row>
    <row r="32" spans="1:3" ht="15">
      <c r="A32" s="21"/>
      <c r="B32" s="16" t="s">
        <v>174</v>
      </c>
      <c r="C32" s="24">
        <f>2000*18.5*1.05</f>
        <v>38850</v>
      </c>
    </row>
    <row r="33" spans="1:3" ht="15">
      <c r="A33" s="21"/>
      <c r="B33" s="16" t="s">
        <v>175</v>
      </c>
      <c r="C33" s="24">
        <f>400*20*1.05</f>
        <v>8400</v>
      </c>
    </row>
    <row r="34" spans="1:3" ht="15">
      <c r="A34" s="21">
        <v>4</v>
      </c>
      <c r="B34" s="16" t="s">
        <v>25</v>
      </c>
      <c r="C34" s="24">
        <f>72784.07/9*12*110%</f>
        <v>106749.96933333336</v>
      </c>
    </row>
    <row r="35" spans="1:3" s="156" customFormat="1" ht="15">
      <c r="A35" s="28">
        <v>5</v>
      </c>
      <c r="B35" s="29" t="s">
        <v>9</v>
      </c>
      <c r="C35" s="30">
        <f>SUM(C36:C49)</f>
        <v>2413274.1119999997</v>
      </c>
    </row>
    <row r="36" spans="1:3" ht="15">
      <c r="A36" s="20" t="s">
        <v>187</v>
      </c>
      <c r="B36" s="16" t="s">
        <v>10</v>
      </c>
      <c r="C36" s="24">
        <f>39.96/9*12</f>
        <v>53.28</v>
      </c>
    </row>
    <row r="37" spans="1:3" ht="15">
      <c r="A37" s="20" t="s">
        <v>188</v>
      </c>
      <c r="B37" s="16" t="s">
        <v>11</v>
      </c>
      <c r="C37" s="24">
        <f>1098*119*12</f>
        <v>1567944</v>
      </c>
    </row>
    <row r="38" spans="1:3" ht="15">
      <c r="A38" s="20" t="s">
        <v>189</v>
      </c>
      <c r="B38" s="16" t="s">
        <v>168</v>
      </c>
      <c r="C38" s="24">
        <v>8000</v>
      </c>
    </row>
    <row r="39" spans="1:3" ht="15">
      <c r="A39" s="20" t="s">
        <v>190</v>
      </c>
      <c r="B39" s="16" t="s">
        <v>36</v>
      </c>
      <c r="C39" s="24">
        <v>4788</v>
      </c>
    </row>
    <row r="40" spans="1:3" ht="15">
      <c r="A40" s="20" t="s">
        <v>191</v>
      </c>
      <c r="B40" s="16" t="s">
        <v>149</v>
      </c>
      <c r="C40" s="24">
        <v>50000</v>
      </c>
    </row>
    <row r="41" spans="1:3" ht="15">
      <c r="A41" s="20" t="s">
        <v>192</v>
      </c>
      <c r="B41" s="16" t="s">
        <v>21</v>
      </c>
      <c r="C41" s="25">
        <v>1200</v>
      </c>
    </row>
    <row r="42" spans="1:3" ht="15">
      <c r="A42" s="20" t="s">
        <v>193</v>
      </c>
      <c r="B42" s="16" t="s">
        <v>169</v>
      </c>
      <c r="C42" s="25">
        <f>6*10000+10000</f>
        <v>70000</v>
      </c>
    </row>
    <row r="43" spans="1:3" ht="15">
      <c r="A43" s="20" t="s">
        <v>194</v>
      </c>
      <c r="B43" s="16" t="s">
        <v>170</v>
      </c>
      <c r="C43" s="25">
        <v>40000</v>
      </c>
    </row>
    <row r="44" spans="1:3" ht="15">
      <c r="A44" s="20" t="s">
        <v>195</v>
      </c>
      <c r="B44" s="16" t="s">
        <v>171</v>
      </c>
      <c r="C44" s="25">
        <f>350000/5</f>
        <v>70000</v>
      </c>
    </row>
    <row r="45" spans="1:3" ht="15">
      <c r="A45" s="20" t="s">
        <v>196</v>
      </c>
      <c r="B45" s="16" t="s">
        <v>172</v>
      </c>
      <c r="C45" s="25">
        <v>20000</v>
      </c>
    </row>
    <row r="46" spans="1:3" ht="30">
      <c r="A46" s="20" t="s">
        <v>197</v>
      </c>
      <c r="B46" s="165" t="s">
        <v>173</v>
      </c>
      <c r="C46" s="25">
        <v>30000</v>
      </c>
    </row>
    <row r="47" spans="1:3" ht="15">
      <c r="A47" s="20" t="s">
        <v>198</v>
      </c>
      <c r="B47" s="165" t="s">
        <v>176</v>
      </c>
      <c r="C47" s="25">
        <f>94*0.125*176.16</f>
        <v>2069.88</v>
      </c>
    </row>
    <row r="48" spans="1:3" ht="30">
      <c r="A48" s="20" t="s">
        <v>199</v>
      </c>
      <c r="B48" s="165" t="s">
        <v>178</v>
      </c>
      <c r="C48" s="25">
        <f>4.67*Доходы!D87*12</f>
        <v>176738.95200000005</v>
      </c>
    </row>
    <row r="49" spans="1:3" ht="15">
      <c r="A49" s="20" t="s">
        <v>200</v>
      </c>
      <c r="B49" s="165" t="s">
        <v>186</v>
      </c>
      <c r="C49" s="25">
        <f>4*4*1*1416*8+4*4*1*1494*8</f>
        <v>372480</v>
      </c>
    </row>
    <row r="50" spans="1:6" ht="30">
      <c r="A50" s="20" t="s">
        <v>201</v>
      </c>
      <c r="B50" s="165" t="s">
        <v>179</v>
      </c>
      <c r="C50" s="171" t="s">
        <v>185</v>
      </c>
      <c r="F50" s="170"/>
    </row>
    <row r="51" spans="1:3" s="156" customFormat="1" ht="15">
      <c r="A51" s="28">
        <v>6</v>
      </c>
      <c r="B51" s="29" t="s">
        <v>73</v>
      </c>
      <c r="C51" s="64">
        <f>SUM(C52:C57)</f>
        <v>683810</v>
      </c>
    </row>
    <row r="52" spans="1:3" ht="15">
      <c r="A52" s="130" t="s">
        <v>26</v>
      </c>
      <c r="B52" s="16" t="s">
        <v>38</v>
      </c>
      <c r="C52" s="25">
        <f>341905</f>
        <v>341905</v>
      </c>
    </row>
    <row r="53" spans="1:3" ht="15">
      <c r="A53" s="130"/>
      <c r="B53" s="16" t="s">
        <v>202</v>
      </c>
      <c r="C53" s="25">
        <v>17852</v>
      </c>
    </row>
    <row r="54" spans="1:3" ht="15">
      <c r="A54" s="130"/>
      <c r="B54" s="16" t="s">
        <v>203</v>
      </c>
      <c r="C54" s="25">
        <f>C52-C53</f>
        <v>324053</v>
      </c>
    </row>
    <row r="55" spans="1:3" ht="15">
      <c r="A55" s="130" t="s">
        <v>27</v>
      </c>
      <c r="B55" s="16" t="s">
        <v>151</v>
      </c>
      <c r="C55" s="25">
        <v>0</v>
      </c>
    </row>
    <row r="56" spans="1:3" ht="15">
      <c r="A56" s="130" t="s">
        <v>28</v>
      </c>
      <c r="B56" s="16" t="s">
        <v>77</v>
      </c>
      <c r="C56" s="26"/>
    </row>
    <row r="57" spans="1:3" ht="15">
      <c r="A57" s="130" t="s">
        <v>29</v>
      </c>
      <c r="B57" s="16" t="s">
        <v>79</v>
      </c>
      <c r="C57" s="26"/>
    </row>
    <row r="58" spans="1:3" ht="15">
      <c r="A58" s="21"/>
      <c r="B58" s="16"/>
      <c r="C58" s="25"/>
    </row>
    <row r="59" spans="1:3" s="156" customFormat="1" ht="14.25">
      <c r="A59" s="155" t="s">
        <v>71</v>
      </c>
      <c r="B59" s="17" t="s">
        <v>68</v>
      </c>
      <c r="C59" s="26">
        <v>0</v>
      </c>
    </row>
    <row r="60" spans="1:3" ht="15">
      <c r="A60" s="21"/>
      <c r="B60" s="16"/>
      <c r="C60" s="25"/>
    </row>
    <row r="61" spans="1:3" ht="14.25">
      <c r="A61" s="162"/>
      <c r="B61" s="163"/>
      <c r="C61" s="164"/>
    </row>
  </sheetData>
  <mergeCells count="3">
    <mergeCell ref="A2:C2"/>
    <mergeCell ref="A3:C3"/>
    <mergeCell ref="A4:C4"/>
  </mergeCells>
  <printOptions gridLines="1"/>
  <pageMargins left="0.4724409448818898" right="0.5118110236220472" top="0.31496062992125984" bottom="0.31496062992125984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" sqref="I2"/>
    </sheetView>
  </sheetViews>
  <sheetFormatPr defaultColWidth="9.33203125" defaultRowHeight="12.75"/>
  <cols>
    <col min="1" max="1" width="7" style="212" customWidth="1"/>
    <col min="2" max="2" width="68.66015625" style="27" customWidth="1"/>
    <col min="3" max="3" width="20.83203125" style="27" customWidth="1"/>
    <col min="4" max="4" width="20.83203125" style="211" customWidth="1"/>
    <col min="5" max="5" width="50.5" style="27" hidden="1" customWidth="1"/>
    <col min="6" max="16384" width="9.33203125" style="27" customWidth="1"/>
  </cols>
  <sheetData>
    <row r="1" spans="1:4" ht="15">
      <c r="A1" s="237"/>
      <c r="B1" s="29"/>
      <c r="C1" s="29"/>
      <c r="D1" s="238"/>
    </row>
    <row r="2" spans="1:4" ht="32.25" customHeight="1">
      <c r="A2" s="240" t="s">
        <v>274</v>
      </c>
      <c r="B2" s="241"/>
      <c r="C2" s="241"/>
      <c r="D2" s="242"/>
    </row>
    <row r="3" spans="1:8" ht="15.75">
      <c r="A3" s="233"/>
      <c r="B3" s="234"/>
      <c r="C3" s="235" t="s">
        <v>252</v>
      </c>
      <c r="D3" s="236" t="s">
        <v>273</v>
      </c>
      <c r="E3" s="214" t="s">
        <v>253</v>
      </c>
      <c r="H3" s="239"/>
    </row>
    <row r="4" spans="1:5" ht="25.5" customHeight="1">
      <c r="A4" s="218" t="s">
        <v>1</v>
      </c>
      <c r="B4" s="204" t="s">
        <v>61</v>
      </c>
      <c r="C4" s="203" t="s">
        <v>281</v>
      </c>
      <c r="D4" s="219" t="s">
        <v>261</v>
      </c>
      <c r="E4" s="215"/>
    </row>
    <row r="5" spans="1:5" ht="15">
      <c r="A5" s="220"/>
      <c r="B5" s="205"/>
      <c r="C5" s="205"/>
      <c r="D5" s="221"/>
      <c r="E5" s="216"/>
    </row>
    <row r="6" spans="1:5" ht="30">
      <c r="A6" s="220"/>
      <c r="B6" s="206" t="s">
        <v>274</v>
      </c>
      <c r="C6" s="207">
        <v>44.999738111309206</v>
      </c>
      <c r="D6" s="221">
        <v>1</v>
      </c>
      <c r="E6" s="216"/>
    </row>
    <row r="7" spans="1:5" ht="17.25" customHeight="1">
      <c r="A7" s="220"/>
      <c r="B7" s="205" t="s">
        <v>275</v>
      </c>
      <c r="C7" s="205"/>
      <c r="D7" s="221"/>
      <c r="E7" s="216"/>
    </row>
    <row r="8" spans="1:5" ht="11.25" customHeight="1">
      <c r="A8" s="220"/>
      <c r="B8" s="205"/>
      <c r="C8" s="208"/>
      <c r="D8" s="221"/>
      <c r="E8" s="216"/>
    </row>
    <row r="9" spans="1:5" ht="16.5" customHeight="1">
      <c r="A9" s="220">
        <v>1</v>
      </c>
      <c r="B9" s="205" t="s">
        <v>204</v>
      </c>
      <c r="C9" s="209">
        <v>19.73113655580609</v>
      </c>
      <c r="D9" s="221">
        <v>0.4384697012401353</v>
      </c>
      <c r="E9" s="216"/>
    </row>
    <row r="10" spans="1:5" ht="16.5" customHeight="1">
      <c r="A10" s="222" t="s">
        <v>218</v>
      </c>
      <c r="B10" s="205" t="s">
        <v>277</v>
      </c>
      <c r="C10" s="209">
        <v>8.434684329199548</v>
      </c>
      <c r="D10" s="221">
        <v>0.18743742953776774</v>
      </c>
      <c r="E10" s="210" t="s">
        <v>263</v>
      </c>
    </row>
    <row r="11" spans="1:5" ht="21.75" customHeight="1">
      <c r="A11" s="220" t="s">
        <v>219</v>
      </c>
      <c r="B11" s="205" t="s">
        <v>269</v>
      </c>
      <c r="C11" s="209">
        <v>4.518580890642616</v>
      </c>
      <c r="D11" s="221">
        <v>0.10041290868094702</v>
      </c>
      <c r="E11" s="210"/>
    </row>
    <row r="12" spans="1:5" ht="21.75" customHeight="1">
      <c r="A12" s="220" t="s">
        <v>220</v>
      </c>
      <c r="B12" s="205" t="s">
        <v>278</v>
      </c>
      <c r="C12" s="209">
        <v>3.4642453494926726</v>
      </c>
      <c r="D12" s="221">
        <v>0.07698322998872605</v>
      </c>
      <c r="E12" s="210" t="s">
        <v>263</v>
      </c>
    </row>
    <row r="13" spans="1:5" ht="21.75" customHeight="1">
      <c r="A13" s="220" t="s">
        <v>270</v>
      </c>
      <c r="B13" s="205" t="s">
        <v>279</v>
      </c>
      <c r="C13" s="209">
        <v>3.313625986471252</v>
      </c>
      <c r="D13" s="221">
        <v>0.07363613303269448</v>
      </c>
      <c r="E13" s="210" t="s">
        <v>263</v>
      </c>
    </row>
    <row r="14" spans="1:5" ht="21.75" customHeight="1">
      <c r="A14" s="220">
        <v>2</v>
      </c>
      <c r="B14" s="205" t="s">
        <v>228</v>
      </c>
      <c r="C14" s="209">
        <v>2.880832335118377</v>
      </c>
      <c r="D14" s="221">
        <v>0.06401849633596393</v>
      </c>
      <c r="E14" s="210" t="s">
        <v>263</v>
      </c>
    </row>
    <row r="15" spans="1:5" ht="21.75" customHeight="1">
      <c r="A15" s="220">
        <v>3</v>
      </c>
      <c r="B15" s="205" t="s">
        <v>260</v>
      </c>
      <c r="C15" s="209">
        <v>7.053296434576627</v>
      </c>
      <c r="D15" s="221">
        <v>0.15673992076836948</v>
      </c>
      <c r="E15" s="210" t="s">
        <v>263</v>
      </c>
    </row>
    <row r="16" spans="1:5" ht="21.75" customHeight="1">
      <c r="A16" s="220">
        <v>4</v>
      </c>
      <c r="B16" s="205" t="s">
        <v>276</v>
      </c>
      <c r="C16" s="209">
        <v>1.3675959871758738</v>
      </c>
      <c r="D16" s="221">
        <v>0.03039102193724164</v>
      </c>
      <c r="E16" s="210" t="s">
        <v>264</v>
      </c>
    </row>
    <row r="17" spans="1:5" ht="21.75" customHeight="1">
      <c r="A17" s="220">
        <v>5</v>
      </c>
      <c r="B17" s="205" t="s">
        <v>206</v>
      </c>
      <c r="C17" s="209">
        <v>0.3755837972096956</v>
      </c>
      <c r="D17" s="221">
        <v>0.008346306604659902</v>
      </c>
      <c r="E17" s="210"/>
    </row>
    <row r="18" spans="1:5" ht="21.75" customHeight="1">
      <c r="A18" s="220">
        <v>6</v>
      </c>
      <c r="B18" s="206" t="s">
        <v>265</v>
      </c>
      <c r="C18" s="209">
        <v>0.7257398886696731</v>
      </c>
      <c r="D18" s="221">
        <v>0.016127553081548292</v>
      </c>
      <c r="E18" s="210" t="s">
        <v>266</v>
      </c>
    </row>
    <row r="19" spans="1:5" ht="21.75" customHeight="1">
      <c r="A19" s="220">
        <v>7</v>
      </c>
      <c r="B19" s="205" t="s">
        <v>224</v>
      </c>
      <c r="C19" s="209">
        <v>0.6633314543404735</v>
      </c>
      <c r="D19" s="221">
        <v>0.014740698985343855</v>
      </c>
      <c r="E19" s="210"/>
    </row>
    <row r="20" spans="1:5" ht="21.75" customHeight="1">
      <c r="A20" s="220">
        <v>8</v>
      </c>
      <c r="B20" s="205" t="s">
        <v>223</v>
      </c>
      <c r="C20" s="209">
        <v>2.742488620349493</v>
      </c>
      <c r="D20" s="221">
        <v>0.060944191563322064</v>
      </c>
      <c r="E20" s="210" t="s">
        <v>266</v>
      </c>
    </row>
    <row r="21" spans="1:5" ht="21.75" customHeight="1">
      <c r="A21" s="220">
        <v>9</v>
      </c>
      <c r="B21" s="205" t="s">
        <v>208</v>
      </c>
      <c r="C21" s="209">
        <v>0.004721057638105975</v>
      </c>
      <c r="D21" s="221">
        <v>0.00010491239195791056</v>
      </c>
      <c r="E21" s="217" t="s">
        <v>262</v>
      </c>
    </row>
    <row r="22" spans="1:5" ht="21.75" customHeight="1">
      <c r="A22" s="220">
        <v>10</v>
      </c>
      <c r="B22" s="205" t="s">
        <v>280</v>
      </c>
      <c r="C22" s="209">
        <v>1.534343732384446</v>
      </c>
      <c r="D22" s="221">
        <v>0.034096527386320914</v>
      </c>
      <c r="E22" s="217" t="s">
        <v>262</v>
      </c>
    </row>
    <row r="23" spans="1:5" ht="21.75" customHeight="1">
      <c r="A23" s="220">
        <v>11</v>
      </c>
      <c r="B23" s="205" t="s">
        <v>225</v>
      </c>
      <c r="C23" s="209">
        <v>0</v>
      </c>
      <c r="D23" s="221">
        <v>0</v>
      </c>
      <c r="E23" s="210"/>
    </row>
    <row r="24" spans="1:5" ht="21.75" customHeight="1">
      <c r="A24" s="220">
        <v>12</v>
      </c>
      <c r="B24" s="205" t="s">
        <v>226</v>
      </c>
      <c r="C24" s="209">
        <v>0</v>
      </c>
      <c r="D24" s="221">
        <v>0</v>
      </c>
      <c r="E24" s="210"/>
    </row>
    <row r="25" spans="1:5" ht="21.75" customHeight="1">
      <c r="A25" s="220">
        <v>13</v>
      </c>
      <c r="B25" s="205" t="s">
        <v>227</v>
      </c>
      <c r="C25" s="209">
        <v>0</v>
      </c>
      <c r="D25" s="221">
        <v>0</v>
      </c>
      <c r="E25" s="210"/>
    </row>
    <row r="26" spans="1:5" ht="21.75" customHeight="1">
      <c r="A26" s="220">
        <v>14</v>
      </c>
      <c r="B26" s="205" t="s">
        <v>254</v>
      </c>
      <c r="C26" s="209">
        <v>0.5104988726042841</v>
      </c>
      <c r="D26" s="221">
        <v>0.011344419391206314</v>
      </c>
      <c r="E26" s="210" t="s">
        <v>267</v>
      </c>
    </row>
    <row r="27" spans="1:5" ht="21.75" customHeight="1">
      <c r="A27" s="220">
        <v>15</v>
      </c>
      <c r="B27" s="205" t="s">
        <v>255</v>
      </c>
      <c r="C27" s="209">
        <v>0.5958462514092446</v>
      </c>
      <c r="D27" s="221">
        <v>0.013241027809094325</v>
      </c>
      <c r="E27" s="210"/>
    </row>
    <row r="28" spans="1:5" ht="21.75" customHeight="1">
      <c r="A28" s="220">
        <v>16</v>
      </c>
      <c r="B28" s="205" t="s">
        <v>256</v>
      </c>
      <c r="C28" s="209">
        <v>1.5327649379932355</v>
      </c>
      <c r="D28" s="221">
        <v>0.034061443066516345</v>
      </c>
      <c r="E28" s="210"/>
    </row>
    <row r="29" spans="1:5" ht="21.75" customHeight="1">
      <c r="A29" s="220">
        <v>17</v>
      </c>
      <c r="B29" s="206" t="s">
        <v>257</v>
      </c>
      <c r="C29" s="209">
        <v>2.7638810597519727</v>
      </c>
      <c r="D29" s="221">
        <v>0.06141957910559939</v>
      </c>
      <c r="E29" s="210" t="s">
        <v>268</v>
      </c>
    </row>
    <row r="30" spans="1:5" ht="21.75" customHeight="1">
      <c r="A30" s="220">
        <v>18</v>
      </c>
      <c r="B30" s="205" t="s">
        <v>258</v>
      </c>
      <c r="C30" s="209">
        <v>0.7927001127395716</v>
      </c>
      <c r="D30" s="221">
        <v>0.017615558060879367</v>
      </c>
      <c r="E30" s="210" t="s">
        <v>268</v>
      </c>
    </row>
    <row r="31" spans="1:5" ht="21.75" customHeight="1">
      <c r="A31" s="220">
        <v>19</v>
      </c>
      <c r="B31" s="205" t="s">
        <v>259</v>
      </c>
      <c r="C31" s="209">
        <v>0</v>
      </c>
      <c r="D31" s="221">
        <v>0</v>
      </c>
      <c r="E31" s="210"/>
    </row>
    <row r="32" spans="1:4" ht="21.75" customHeight="1">
      <c r="A32" s="220">
        <v>20</v>
      </c>
      <c r="B32" s="205" t="s">
        <v>272</v>
      </c>
      <c r="C32" s="209">
        <v>1.2800145974848425</v>
      </c>
      <c r="D32" s="221">
        <v>0.028444768832996504</v>
      </c>
    </row>
    <row r="33" spans="1:4" ht="21.75" customHeight="1" thickBot="1">
      <c r="A33" s="223">
        <v>21</v>
      </c>
      <c r="B33" s="224" t="s">
        <v>271</v>
      </c>
      <c r="C33" s="225">
        <v>0.45000055189508986</v>
      </c>
      <c r="D33" s="226">
        <v>0.01000001226433533</v>
      </c>
    </row>
    <row r="34" ht="21.75" customHeight="1">
      <c r="C34" s="213"/>
    </row>
  </sheetData>
  <mergeCells count="1">
    <mergeCell ref="A2:D2"/>
  </mergeCells>
  <printOptions/>
  <pageMargins left="0.81" right="0.17" top="0.32" bottom="0.31496062992125984" header="0.5118110236220472" footer="0.1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1" sqref="B1:B2"/>
    </sheetView>
  </sheetViews>
  <sheetFormatPr defaultColWidth="9.33203125" defaultRowHeight="12.75"/>
  <cols>
    <col min="1" max="1" width="5.83203125" style="0" customWidth="1"/>
    <col min="2" max="2" width="61.5" style="0" customWidth="1"/>
    <col min="3" max="3" width="23.16015625" style="0" customWidth="1"/>
  </cols>
  <sheetData>
    <row r="1" ht="15">
      <c r="B1" s="200" t="s">
        <v>246</v>
      </c>
    </row>
    <row r="2" ht="15">
      <c r="B2" s="200" t="s">
        <v>245</v>
      </c>
    </row>
    <row r="4" spans="1:3" ht="45" customHeight="1">
      <c r="A4" s="172"/>
      <c r="B4" s="173"/>
      <c r="C4" s="174" t="s">
        <v>205</v>
      </c>
    </row>
    <row r="5" spans="1:3" s="147" customFormat="1" ht="15">
      <c r="A5" s="53" t="s">
        <v>1</v>
      </c>
      <c r="B5" s="176" t="s">
        <v>61</v>
      </c>
      <c r="C5" s="177" t="s">
        <v>139</v>
      </c>
    </row>
    <row r="6" spans="1:3" s="147" customFormat="1" ht="15">
      <c r="A6" s="178"/>
      <c r="B6" s="186"/>
      <c r="C6" s="179"/>
    </row>
    <row r="7" spans="1:3" s="147" customFormat="1" ht="15">
      <c r="A7" s="180"/>
      <c r="B7" s="187" t="s">
        <v>230</v>
      </c>
      <c r="C7" s="181">
        <v>477354.17</v>
      </c>
    </row>
    <row r="8" spans="1:3" s="147" customFormat="1" ht="15">
      <c r="A8" s="180"/>
      <c r="B8" s="187" t="s">
        <v>231</v>
      </c>
      <c r="C8" s="181">
        <f>477354.17-94741.92</f>
        <v>382612.25</v>
      </c>
    </row>
    <row r="9" spans="1:3" s="147" customFormat="1" ht="15">
      <c r="A9" s="180" t="s">
        <v>153</v>
      </c>
      <c r="B9" s="187" t="s">
        <v>238</v>
      </c>
      <c r="C9" s="181">
        <f>C12</f>
        <v>10634.282458333335</v>
      </c>
    </row>
    <row r="10" spans="1:3" s="147" customFormat="1" ht="15">
      <c r="A10" s="180"/>
      <c r="B10" s="201" t="s">
        <v>239</v>
      </c>
      <c r="C10" s="202" t="e">
        <f>C9/#REF!</f>
        <v>#REF!</v>
      </c>
    </row>
    <row r="11" spans="1:3" s="147" customFormat="1" ht="15">
      <c r="A11" s="180"/>
      <c r="B11" s="187"/>
      <c r="C11" s="181"/>
    </row>
    <row r="12" spans="1:3" s="147" customFormat="1" ht="15">
      <c r="A12" s="180" t="s">
        <v>158</v>
      </c>
      <c r="B12" s="187" t="s">
        <v>232</v>
      </c>
      <c r="C12" s="188">
        <f>C13+C14+C16+C15</f>
        <v>10634.282458333335</v>
      </c>
    </row>
    <row r="13" spans="1:3" s="147" customFormat="1" ht="15">
      <c r="A13" s="182" t="s">
        <v>233</v>
      </c>
      <c r="B13" s="21" t="s">
        <v>217</v>
      </c>
      <c r="C13" s="183">
        <f>3644</f>
        <v>3644</v>
      </c>
    </row>
    <row r="14" spans="1:3" s="147" customFormat="1" ht="15">
      <c r="A14" s="182" t="s">
        <v>234</v>
      </c>
      <c r="B14" s="21" t="s">
        <v>229</v>
      </c>
      <c r="C14" s="183">
        <f>2000*28/12</f>
        <v>4666.666666666667</v>
      </c>
    </row>
    <row r="15" spans="1:3" s="147" customFormat="1" ht="15">
      <c r="A15" s="182" t="s">
        <v>235</v>
      </c>
      <c r="B15" s="21" t="s">
        <v>237</v>
      </c>
      <c r="C15" s="183">
        <f>9012*0.18</f>
        <v>1622.1599999999999</v>
      </c>
    </row>
    <row r="16" spans="1:3" ht="15">
      <c r="A16" s="184" t="s">
        <v>236</v>
      </c>
      <c r="B16" s="175" t="s">
        <v>38</v>
      </c>
      <c r="C16" s="185">
        <f>C8*2.2%/12</f>
        <v>701.4557916666668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11" sqref="C11"/>
    </sheetView>
  </sheetViews>
  <sheetFormatPr defaultColWidth="9.33203125" defaultRowHeight="12.75"/>
  <cols>
    <col min="1" max="1" width="6.33203125" style="0" customWidth="1"/>
    <col min="2" max="2" width="50.33203125" style="0" customWidth="1"/>
    <col min="3" max="3" width="32.33203125" style="0" customWidth="1"/>
  </cols>
  <sheetData>
    <row r="1" ht="15">
      <c r="B1" s="200" t="s">
        <v>246</v>
      </c>
    </row>
    <row r="2" ht="15">
      <c r="B2" s="200" t="s">
        <v>251</v>
      </c>
    </row>
    <row r="3" ht="15">
      <c r="B3" s="200"/>
    </row>
    <row r="4" spans="1:3" ht="28.5" customHeight="1">
      <c r="A4" s="172"/>
      <c r="B4" s="173"/>
      <c r="C4" s="174" t="s">
        <v>205</v>
      </c>
    </row>
    <row r="5" spans="1:3" ht="15">
      <c r="A5" s="53" t="s">
        <v>1</v>
      </c>
      <c r="B5" s="176" t="s">
        <v>61</v>
      </c>
      <c r="C5" s="177" t="s">
        <v>139</v>
      </c>
    </row>
    <row r="6" spans="1:3" ht="15">
      <c r="A6" s="178" t="s">
        <v>153</v>
      </c>
      <c r="B6" s="186" t="s">
        <v>240</v>
      </c>
      <c r="C6" s="198">
        <f>C14</f>
        <v>10169.987555555555</v>
      </c>
    </row>
    <row r="7" spans="1:3" ht="15">
      <c r="A7" s="180"/>
      <c r="B7" s="187" t="s">
        <v>249</v>
      </c>
      <c r="C7" s="188" t="e">
        <f>#REF!</f>
        <v>#REF!</v>
      </c>
    </row>
    <row r="8" spans="1:3" ht="15">
      <c r="A8" s="180"/>
      <c r="B8" s="187" t="s">
        <v>242</v>
      </c>
      <c r="C8" s="190" t="e">
        <f>C6/#REF!</f>
        <v>#REF!</v>
      </c>
    </row>
    <row r="9" spans="1:3" ht="15">
      <c r="A9" s="180"/>
      <c r="B9" s="187" t="s">
        <v>248</v>
      </c>
      <c r="C9" s="190"/>
    </row>
    <row r="10" spans="1:3" ht="15">
      <c r="A10" s="180"/>
      <c r="B10" s="187" t="s">
        <v>244</v>
      </c>
      <c r="C10" s="199">
        <v>5.32</v>
      </c>
    </row>
    <row r="11" spans="1:3" ht="15">
      <c r="A11" s="180"/>
      <c r="B11" s="187" t="s">
        <v>250</v>
      </c>
      <c r="C11" s="190">
        <f>17.09*1.18</f>
        <v>20.1662</v>
      </c>
    </row>
    <row r="12" spans="1:3" ht="15">
      <c r="A12" s="180"/>
      <c r="B12" s="187" t="s">
        <v>247</v>
      </c>
      <c r="C12" s="189">
        <f>C10*C11</f>
        <v>107.28418400000001</v>
      </c>
    </row>
    <row r="13" spans="1:3" ht="15">
      <c r="A13" s="180"/>
      <c r="B13" s="177"/>
      <c r="C13" s="92"/>
    </row>
    <row r="14" spans="1:3" s="156" customFormat="1" ht="15">
      <c r="A14" s="191" t="s">
        <v>207</v>
      </c>
      <c r="B14" s="19" t="s">
        <v>209</v>
      </c>
      <c r="C14" s="192">
        <f>C15+C17+C18+C19+C20+C21</f>
        <v>10169.987555555555</v>
      </c>
    </row>
    <row r="15" spans="1:3" s="147" customFormat="1" ht="15">
      <c r="A15" s="182" t="s">
        <v>211</v>
      </c>
      <c r="B15" s="21" t="s">
        <v>243</v>
      </c>
      <c r="C15" s="193">
        <f>20000/12/3</f>
        <v>555.5555555555555</v>
      </c>
    </row>
    <row r="16" spans="1:3" s="147" customFormat="1" ht="15">
      <c r="A16" s="182" t="s">
        <v>212</v>
      </c>
      <c r="B16" s="21" t="s">
        <v>222</v>
      </c>
      <c r="C16" s="193">
        <f>4353.4</f>
        <v>4353.4</v>
      </c>
    </row>
    <row r="17" spans="1:3" s="147" customFormat="1" ht="15">
      <c r="A17" s="182" t="s">
        <v>213</v>
      </c>
      <c r="B17" s="21" t="s">
        <v>168</v>
      </c>
      <c r="C17" s="193">
        <f>8000/12</f>
        <v>666.6666666666666</v>
      </c>
    </row>
    <row r="18" spans="1:3" s="147" customFormat="1" ht="15">
      <c r="A18" s="182" t="s">
        <v>214</v>
      </c>
      <c r="B18" s="21" t="s">
        <v>36</v>
      </c>
      <c r="C18" s="193">
        <f>4788/12</f>
        <v>399</v>
      </c>
    </row>
    <row r="19" spans="1:3" s="147" customFormat="1" ht="15">
      <c r="A19" s="182" t="s">
        <v>215</v>
      </c>
      <c r="B19" s="21" t="s">
        <v>210</v>
      </c>
      <c r="C19" s="193">
        <f>350000/5/12</f>
        <v>5833.333333333333</v>
      </c>
    </row>
    <row r="20" spans="1:3" s="147" customFormat="1" ht="30">
      <c r="A20" s="182" t="s">
        <v>221</v>
      </c>
      <c r="B20" s="196" t="s">
        <v>216</v>
      </c>
      <c r="C20" s="193">
        <v>500</v>
      </c>
    </row>
    <row r="21" spans="1:3" s="147" customFormat="1" ht="15">
      <c r="A21" s="194" t="s">
        <v>241</v>
      </c>
      <c r="B21" s="197" t="s">
        <v>77</v>
      </c>
      <c r="C21" s="195">
        <f>(C15+C16+C17+C18+C19+C20)*0.18</f>
        <v>2215.4320000000002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2" ySplit="8" topLeftCell="C8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1" sqref="G21"/>
    </sheetView>
  </sheetViews>
  <sheetFormatPr defaultColWidth="9.33203125" defaultRowHeight="12.75"/>
  <cols>
    <col min="1" max="1" width="8.66015625" style="0" customWidth="1"/>
    <col min="2" max="2" width="22.66015625" style="0" customWidth="1"/>
    <col min="3" max="3" width="11.33203125" style="0" customWidth="1"/>
    <col min="4" max="4" width="11.66015625" style="0" customWidth="1"/>
    <col min="5" max="5" width="13.33203125" style="41" customWidth="1"/>
    <col min="6" max="6" width="11.66015625" style="0" customWidth="1"/>
    <col min="7" max="7" width="12.33203125" style="0" customWidth="1"/>
    <col min="8" max="8" width="12.16015625" style="0" customWidth="1"/>
    <col min="9" max="9" width="12.83203125" style="0" customWidth="1"/>
    <col min="10" max="10" width="12.16015625" style="0" customWidth="1"/>
    <col min="11" max="11" width="13.33203125" style="0" customWidth="1"/>
    <col min="12" max="12" width="13.83203125" style="0" customWidth="1"/>
    <col min="13" max="14" width="15" style="0" customWidth="1"/>
    <col min="15" max="15" width="14.66015625" style="0" customWidth="1"/>
  </cols>
  <sheetData>
    <row r="1" spans="1:15" ht="12.75">
      <c r="A1" s="45"/>
      <c r="B1" s="45"/>
      <c r="C1" s="45"/>
      <c r="D1" s="45"/>
      <c r="E1" s="98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8.75">
      <c r="A2" s="230" t="s">
        <v>80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15">
      <c r="A3" s="229" t="s">
        <v>132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</row>
    <row r="4" spans="1:15" ht="15">
      <c r="A4" s="229" t="s">
        <v>145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1:15" ht="15">
      <c r="A5" s="49"/>
      <c r="B5" s="49"/>
      <c r="C5" s="49"/>
      <c r="D5" s="49"/>
      <c r="E5" s="99"/>
      <c r="F5" s="49"/>
      <c r="G5" s="45"/>
      <c r="H5" s="45"/>
      <c r="I5" s="45"/>
      <c r="J5" s="45"/>
      <c r="K5" s="45"/>
      <c r="L5" s="45"/>
      <c r="M5" s="45"/>
      <c r="N5" s="45"/>
      <c r="O5" s="45"/>
    </row>
    <row r="6" spans="1:15" ht="12.75">
      <c r="A6" s="45"/>
      <c r="B6" s="45"/>
      <c r="C6" s="45"/>
      <c r="D6" s="45"/>
      <c r="E6" s="98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12.75">
      <c r="A7" s="46"/>
      <c r="B7" s="70"/>
      <c r="C7" s="66"/>
      <c r="D7" s="66"/>
      <c r="E7" s="100"/>
      <c r="F7" s="46"/>
      <c r="G7" s="231" t="s">
        <v>89</v>
      </c>
      <c r="H7" s="231"/>
      <c r="I7" s="231"/>
      <c r="J7" s="231"/>
      <c r="K7" s="231"/>
      <c r="L7" s="231"/>
      <c r="M7" s="231"/>
      <c r="N7" s="231"/>
      <c r="O7" s="232"/>
    </row>
    <row r="8" spans="1:15" ht="51.75">
      <c r="A8" s="53" t="s">
        <v>1</v>
      </c>
      <c r="B8" s="92" t="s">
        <v>82</v>
      </c>
      <c r="C8" s="89" t="s">
        <v>130</v>
      </c>
      <c r="D8" s="89" t="s">
        <v>123</v>
      </c>
      <c r="E8" s="91" t="s">
        <v>136</v>
      </c>
      <c r="F8" s="88"/>
      <c r="G8" s="93" t="s">
        <v>115</v>
      </c>
      <c r="H8" s="94" t="s">
        <v>129</v>
      </c>
      <c r="I8" s="43" t="s">
        <v>116</v>
      </c>
      <c r="J8" s="95" t="s">
        <v>121</v>
      </c>
      <c r="K8" s="43" t="s">
        <v>117</v>
      </c>
      <c r="L8" s="96" t="s">
        <v>118</v>
      </c>
      <c r="M8" s="43" t="s">
        <v>119</v>
      </c>
      <c r="N8" s="97" t="s">
        <v>120</v>
      </c>
      <c r="O8" s="90" t="s">
        <v>122</v>
      </c>
    </row>
    <row r="9" spans="1:15" s="41" customFormat="1" ht="14.25">
      <c r="A9" s="128"/>
      <c r="B9" s="102"/>
      <c r="C9" s="103"/>
      <c r="D9" s="103"/>
      <c r="E9" s="103"/>
      <c r="F9" s="115" t="s">
        <v>134</v>
      </c>
      <c r="G9" s="114">
        <v>8.02</v>
      </c>
      <c r="H9" s="115">
        <v>10.22</v>
      </c>
      <c r="I9" s="116">
        <v>4.41</v>
      </c>
      <c r="J9" s="117">
        <v>7.91</v>
      </c>
      <c r="K9" s="116">
        <v>31.72</v>
      </c>
      <c r="L9" s="118">
        <v>380.37</v>
      </c>
      <c r="M9" s="118">
        <v>91.03</v>
      </c>
      <c r="N9" s="118">
        <v>87.55</v>
      </c>
      <c r="O9" s="119">
        <v>1.81</v>
      </c>
    </row>
    <row r="10" spans="1:15" ht="15">
      <c r="A10" s="129"/>
      <c r="B10" s="104"/>
      <c r="C10" s="105"/>
      <c r="D10" s="105"/>
      <c r="E10" s="106"/>
      <c r="F10" s="109"/>
      <c r="G10" s="120"/>
      <c r="H10" s="121"/>
      <c r="I10" s="122"/>
      <c r="J10" s="123"/>
      <c r="K10" s="122"/>
      <c r="L10" s="124"/>
      <c r="M10" s="124"/>
      <c r="N10" s="124"/>
      <c r="O10" s="125"/>
    </row>
    <row r="11" spans="1:16" ht="12.75">
      <c r="A11" s="78"/>
      <c r="B11" s="79"/>
      <c r="C11" s="78"/>
      <c r="D11" s="78"/>
      <c r="E11" s="110"/>
      <c r="F11" s="79"/>
      <c r="G11" s="78"/>
      <c r="H11" s="78"/>
      <c r="I11" s="78"/>
      <c r="J11" s="79"/>
      <c r="K11" s="78"/>
      <c r="L11" s="79"/>
      <c r="M11" s="78"/>
      <c r="N11" s="79"/>
      <c r="O11" s="78"/>
      <c r="P11" s="79"/>
    </row>
    <row r="12" spans="1:16" ht="12.75">
      <c r="A12" s="78">
        <v>1</v>
      </c>
      <c r="B12" s="79" t="s">
        <v>83</v>
      </c>
      <c r="C12" s="107">
        <v>1</v>
      </c>
      <c r="D12" s="78">
        <v>112.2</v>
      </c>
      <c r="E12" s="84">
        <f>SUM(G12:O12)</f>
        <v>4703.6810000000005</v>
      </c>
      <c r="F12" s="79"/>
      <c r="G12" s="78"/>
      <c r="H12" s="83">
        <f>D12*H9</f>
        <v>1146.6840000000002</v>
      </c>
      <c r="I12" s="78">
        <f>D12*I9</f>
        <v>494.802</v>
      </c>
      <c r="J12" s="79">
        <f>J9</f>
        <v>7.91</v>
      </c>
      <c r="K12" s="83">
        <f>D12*$K$9*7.5/12</f>
        <v>2224.3650000000002</v>
      </c>
      <c r="L12" s="79">
        <f>$L$9*C12</f>
        <v>380.37</v>
      </c>
      <c r="M12" s="78"/>
      <c r="N12" s="79">
        <f>$N$9*C12</f>
        <v>87.55</v>
      </c>
      <c r="O12" s="83">
        <f>200*O9</f>
        <v>362</v>
      </c>
      <c r="P12" s="79"/>
    </row>
    <row r="13" spans="1:16" ht="12.75">
      <c r="A13" s="78"/>
      <c r="B13" s="79"/>
      <c r="C13" s="78"/>
      <c r="D13" s="78"/>
      <c r="E13" s="80"/>
      <c r="F13" s="79"/>
      <c r="G13" s="78"/>
      <c r="H13" s="78"/>
      <c r="I13" s="78"/>
      <c r="J13" s="79"/>
      <c r="K13" s="83"/>
      <c r="L13" s="79"/>
      <c r="M13" s="78"/>
      <c r="N13" s="79"/>
      <c r="O13" s="78"/>
      <c r="P13" s="79"/>
    </row>
    <row r="14" spans="1:16" ht="12.75">
      <c r="A14" s="78">
        <v>2</v>
      </c>
      <c r="B14" s="79" t="s">
        <v>84</v>
      </c>
      <c r="C14" s="78">
        <v>3</v>
      </c>
      <c r="D14" s="78">
        <v>54.5</v>
      </c>
      <c r="E14" s="84">
        <f>SUM(G14:O14)</f>
        <v>3741.9675</v>
      </c>
      <c r="F14" s="79"/>
      <c r="G14" s="78"/>
      <c r="H14" s="83">
        <f>D14*H9</f>
        <v>556.99</v>
      </c>
      <c r="I14" s="83">
        <f>D14*I9</f>
        <v>240.345</v>
      </c>
      <c r="J14" s="79">
        <f>J9</f>
        <v>7.91</v>
      </c>
      <c r="K14" s="83">
        <f>D14*$K$9*7.5/12</f>
        <v>1080.4624999999999</v>
      </c>
      <c r="L14" s="79">
        <f>$L$9*C14</f>
        <v>1141.1100000000001</v>
      </c>
      <c r="M14" s="78"/>
      <c r="N14" s="79">
        <f>$N$9*C14</f>
        <v>262.65</v>
      </c>
      <c r="O14" s="83">
        <f>250*O9</f>
        <v>452.5</v>
      </c>
      <c r="P14" s="79"/>
    </row>
    <row r="15" spans="1:18" s="41" customFormat="1" ht="12.75">
      <c r="A15" s="80"/>
      <c r="B15" s="81"/>
      <c r="C15" s="80"/>
      <c r="D15" s="80"/>
      <c r="E15" s="84"/>
      <c r="F15" s="81"/>
      <c r="G15" s="80"/>
      <c r="H15" s="84"/>
      <c r="I15" s="84"/>
      <c r="J15" s="81"/>
      <c r="K15" s="83"/>
      <c r="L15" s="79"/>
      <c r="M15" s="78"/>
      <c r="N15" s="79"/>
      <c r="O15" s="80"/>
      <c r="P15" s="81"/>
      <c r="R15" s="113"/>
    </row>
    <row r="16" spans="1:15" ht="12.75">
      <c r="A16" s="51">
        <v>3</v>
      </c>
      <c r="B16" t="s">
        <v>85</v>
      </c>
      <c r="C16" s="51">
        <v>2</v>
      </c>
      <c r="D16" s="51">
        <v>74.8</v>
      </c>
      <c r="E16" s="85">
        <f>SUM(G16:O16)</f>
        <v>3973.484</v>
      </c>
      <c r="G16" s="51"/>
      <c r="H16" s="76">
        <f>D16*H9</f>
        <v>764.456</v>
      </c>
      <c r="I16" s="51">
        <f>D16*I9</f>
        <v>329.868</v>
      </c>
      <c r="J16">
        <f>J9</f>
        <v>7.91</v>
      </c>
      <c r="K16" s="83">
        <f>D16*$K$9*7.5/12</f>
        <v>1482.9099999999999</v>
      </c>
      <c r="L16" s="79">
        <f>$L$9*C16</f>
        <v>760.74</v>
      </c>
      <c r="M16" s="78"/>
      <c r="N16" s="127">
        <f>$N$9*C16</f>
        <v>175.1</v>
      </c>
      <c r="O16" s="76">
        <f>250*O9</f>
        <v>452.5</v>
      </c>
    </row>
    <row r="17" spans="1:15" s="41" customFormat="1" ht="12.75">
      <c r="A17" s="50"/>
      <c r="C17" s="50"/>
      <c r="D17" s="50"/>
      <c r="E17" s="85"/>
      <c r="G17" s="50"/>
      <c r="H17" s="85"/>
      <c r="I17" s="50"/>
      <c r="K17" s="83"/>
      <c r="L17" s="79"/>
      <c r="M17" s="78"/>
      <c r="N17" s="79"/>
      <c r="O17" s="50"/>
    </row>
    <row r="18" spans="1:15" ht="12.75">
      <c r="A18" s="51">
        <v>4</v>
      </c>
      <c r="B18" t="s">
        <v>86</v>
      </c>
      <c r="C18" s="51">
        <v>4</v>
      </c>
      <c r="D18" s="51">
        <v>118.7</v>
      </c>
      <c r="E18" s="85">
        <f>SUM(G18:O18)</f>
        <v>6546.336</v>
      </c>
      <c r="G18" s="51"/>
      <c r="H18" s="76">
        <f>D18*H9</f>
        <v>1213.114</v>
      </c>
      <c r="I18" s="76">
        <f>D18*I9</f>
        <v>523.467</v>
      </c>
      <c r="J18">
        <f>J9</f>
        <v>7.91</v>
      </c>
      <c r="K18" s="83">
        <f>D18*$K$9*7.5/12</f>
        <v>2353.2275</v>
      </c>
      <c r="L18" s="79">
        <f>$L$9*C18</f>
        <v>1521.48</v>
      </c>
      <c r="M18" s="78"/>
      <c r="N18" s="79">
        <f>$N$9*C18</f>
        <v>350.2</v>
      </c>
      <c r="O18" s="76">
        <f>(300*7.5+450*3.5)/12*O9</f>
        <v>576.9375</v>
      </c>
    </row>
    <row r="19" spans="1:15" s="41" customFormat="1" ht="12.75">
      <c r="A19" s="50"/>
      <c r="C19" s="50"/>
      <c r="D19" s="50"/>
      <c r="E19" s="85"/>
      <c r="G19" s="50"/>
      <c r="H19" s="85"/>
      <c r="I19" s="85"/>
      <c r="J19" s="41" t="s">
        <v>135</v>
      </c>
      <c r="K19" s="83"/>
      <c r="L19" s="79"/>
      <c r="M19" s="78"/>
      <c r="N19" s="79"/>
      <c r="O19" s="50"/>
    </row>
    <row r="20" spans="1:16" ht="12.75">
      <c r="A20" s="51">
        <v>5</v>
      </c>
      <c r="B20" t="s">
        <v>87</v>
      </c>
      <c r="C20" s="51">
        <v>2</v>
      </c>
      <c r="D20" s="51">
        <v>134.9</v>
      </c>
      <c r="E20" s="85">
        <f>SUM(G20:O20)</f>
        <v>5837.949500000001</v>
      </c>
      <c r="G20" s="76">
        <f>D20*G9</f>
        <v>1081.898</v>
      </c>
      <c r="H20" s="51"/>
      <c r="I20" s="76">
        <f>D20*I9</f>
        <v>594.909</v>
      </c>
      <c r="J20">
        <f>J9</f>
        <v>7.91</v>
      </c>
      <c r="K20" s="83">
        <f>D20*$K$9*7.5/12</f>
        <v>2674.3925000000004</v>
      </c>
      <c r="L20" s="79">
        <f>$L$9*C20</f>
        <v>760.74</v>
      </c>
      <c r="M20" s="78"/>
      <c r="N20" s="127">
        <f>$N$9*C20</f>
        <v>175.1</v>
      </c>
      <c r="O20" s="76">
        <f>300*1.81</f>
        <v>543</v>
      </c>
      <c r="P20" s="111"/>
    </row>
    <row r="21" spans="1:15" s="41" customFormat="1" ht="12.75">
      <c r="A21" s="50"/>
      <c r="C21" s="50"/>
      <c r="D21" s="50"/>
      <c r="E21" s="50"/>
      <c r="G21" s="85"/>
      <c r="H21" s="50"/>
      <c r="I21" s="85"/>
      <c r="K21" s="83"/>
      <c r="L21" s="79"/>
      <c r="M21" s="78"/>
      <c r="N21" s="127"/>
      <c r="O21" s="50"/>
    </row>
    <row r="22" spans="1:15" ht="12.75">
      <c r="A22" s="51">
        <v>6</v>
      </c>
      <c r="B22" t="s">
        <v>88</v>
      </c>
      <c r="C22" s="51">
        <v>2</v>
      </c>
      <c r="D22" s="51">
        <v>120.6</v>
      </c>
      <c r="E22" s="85">
        <f>SUM(G22:O22)</f>
        <v>5642.023</v>
      </c>
      <c r="G22" s="51"/>
      <c r="H22" s="76">
        <f>D22*H9</f>
        <v>1232.532</v>
      </c>
      <c r="I22" s="51">
        <f>D22*I9</f>
        <v>531.846</v>
      </c>
      <c r="J22">
        <f>J9</f>
        <v>7.91</v>
      </c>
      <c r="K22" s="83">
        <f>D22*$K$9*7.5/12</f>
        <v>2390.895</v>
      </c>
      <c r="L22" s="79">
        <f>$L$9*C22</f>
        <v>760.74</v>
      </c>
      <c r="M22" s="78"/>
      <c r="N22" s="127">
        <f>$N$9*C22</f>
        <v>175.1</v>
      </c>
      <c r="O22" s="76">
        <f>300*O9</f>
        <v>543</v>
      </c>
    </row>
    <row r="23" spans="1:15" s="41" customFormat="1" ht="12.75">
      <c r="A23" s="50"/>
      <c r="C23" s="50"/>
      <c r="D23" s="50"/>
      <c r="E23" s="50"/>
      <c r="G23" s="50"/>
      <c r="H23" s="85"/>
      <c r="I23" s="50"/>
      <c r="K23" s="83"/>
      <c r="L23" s="79"/>
      <c r="M23" s="78"/>
      <c r="N23" s="79"/>
      <c r="O23" s="50"/>
    </row>
    <row r="24" spans="1:15" ht="12.75">
      <c r="A24" s="69">
        <v>7</v>
      </c>
      <c r="B24" s="67" t="s">
        <v>90</v>
      </c>
      <c r="C24" s="77" t="s">
        <v>131</v>
      </c>
      <c r="D24" s="69">
        <v>136.1</v>
      </c>
      <c r="E24" s="86">
        <f>SUM(G24:O24)</f>
        <v>1091.522</v>
      </c>
      <c r="F24" s="68"/>
      <c r="G24" s="75">
        <f>D24*G9</f>
        <v>1091.522</v>
      </c>
      <c r="H24" s="69"/>
      <c r="I24" s="69"/>
      <c r="J24" s="68"/>
      <c r="K24" s="75"/>
      <c r="L24" s="68"/>
      <c r="M24" s="69"/>
      <c r="N24" s="68"/>
      <c r="O24" s="69"/>
    </row>
    <row r="25" spans="1:15" ht="12.75">
      <c r="A25" s="69"/>
      <c r="B25" s="68"/>
      <c r="C25" s="69"/>
      <c r="D25" s="69"/>
      <c r="E25" s="82"/>
      <c r="F25" s="68"/>
      <c r="G25" s="75"/>
      <c r="H25" s="69"/>
      <c r="I25" s="75"/>
      <c r="J25" s="68"/>
      <c r="K25" s="75"/>
      <c r="L25" s="68"/>
      <c r="M25" s="69"/>
      <c r="N25" s="68"/>
      <c r="O25" s="69"/>
    </row>
    <row r="26" spans="1:15" ht="12.75">
      <c r="A26" s="51">
        <v>8</v>
      </c>
      <c r="B26" t="s">
        <v>91</v>
      </c>
      <c r="C26" s="51">
        <v>2</v>
      </c>
      <c r="D26" s="51">
        <v>119.8</v>
      </c>
      <c r="E26" s="85">
        <f>SUM(G26:O26)</f>
        <v>5614.459</v>
      </c>
      <c r="G26" s="51"/>
      <c r="H26" s="76">
        <f>D26*H9</f>
        <v>1224.356</v>
      </c>
      <c r="I26" s="51">
        <f>D26*I9</f>
        <v>528.318</v>
      </c>
      <c r="J26">
        <f>J9</f>
        <v>7.91</v>
      </c>
      <c r="K26" s="83">
        <f>D26*$K$9*7.5/12</f>
        <v>2375.035</v>
      </c>
      <c r="L26" s="79">
        <f>$L$9*C26</f>
        <v>760.74</v>
      </c>
      <c r="M26" s="78"/>
      <c r="N26" s="127">
        <f>$N$9*C26</f>
        <v>175.1</v>
      </c>
      <c r="O26" s="76">
        <f>300*O9</f>
        <v>543</v>
      </c>
    </row>
    <row r="27" spans="1:15" s="41" customFormat="1" ht="12.75">
      <c r="A27" s="50"/>
      <c r="C27" s="50"/>
      <c r="D27" s="50"/>
      <c r="E27" s="50"/>
      <c r="G27" s="50"/>
      <c r="H27" s="85"/>
      <c r="I27" s="50"/>
      <c r="K27" s="83"/>
      <c r="L27" s="79"/>
      <c r="M27" s="78"/>
      <c r="N27" s="79"/>
      <c r="O27" s="50"/>
    </row>
    <row r="28" spans="1:15" ht="12.75">
      <c r="A28" s="69">
        <v>9</v>
      </c>
      <c r="B28" s="67" t="s">
        <v>90</v>
      </c>
      <c r="C28" s="77" t="s">
        <v>131</v>
      </c>
      <c r="D28" s="69">
        <v>136.3</v>
      </c>
      <c r="E28" s="86">
        <f>SUM(G28:O28)</f>
        <v>1101.036</v>
      </c>
      <c r="F28" s="68"/>
      <c r="G28" s="75">
        <f>D28*G9</f>
        <v>1093.126</v>
      </c>
      <c r="H28" s="69"/>
      <c r="I28" s="69"/>
      <c r="J28" s="68">
        <f>J9</f>
        <v>7.91</v>
      </c>
      <c r="K28" s="75"/>
      <c r="L28" s="68"/>
      <c r="M28" s="69"/>
      <c r="N28" s="68"/>
      <c r="O28" s="69"/>
    </row>
    <row r="29" spans="1:15" ht="12.75">
      <c r="A29" s="69"/>
      <c r="B29" s="68"/>
      <c r="C29" s="69"/>
      <c r="D29" s="69"/>
      <c r="E29" s="82"/>
      <c r="F29" s="68"/>
      <c r="G29" s="75"/>
      <c r="H29" s="69"/>
      <c r="I29" s="75"/>
      <c r="J29" s="68"/>
      <c r="K29" s="75"/>
      <c r="L29" s="68"/>
      <c r="M29" s="69"/>
      <c r="N29" s="68"/>
      <c r="O29" s="69"/>
    </row>
    <row r="30" spans="1:15" ht="12.75">
      <c r="A30" s="51">
        <v>10</v>
      </c>
      <c r="B30" t="s">
        <v>92</v>
      </c>
      <c r="C30" s="51">
        <v>3</v>
      </c>
      <c r="D30" s="51">
        <v>72.6</v>
      </c>
      <c r="E30" s="85">
        <f>SUM(G30:O30)</f>
        <v>4365.603</v>
      </c>
      <c r="G30" s="51"/>
      <c r="H30" s="76">
        <f>D30*H9</f>
        <v>741.972</v>
      </c>
      <c r="I30" s="51">
        <f>D30*$I$9</f>
        <v>320.166</v>
      </c>
      <c r="J30">
        <f>J9</f>
        <v>7.91</v>
      </c>
      <c r="K30" s="83">
        <f>D30*$K$9*7.5/12</f>
        <v>1439.2949999999998</v>
      </c>
      <c r="L30" s="79">
        <f>$L$9*C30</f>
        <v>1141.1100000000001</v>
      </c>
      <c r="M30" s="78"/>
      <c r="N30" s="79">
        <f>$N$9*C30</f>
        <v>262.65</v>
      </c>
      <c r="O30" s="76">
        <f>O42</f>
        <v>452.5</v>
      </c>
    </row>
    <row r="31" spans="1:15" s="41" customFormat="1" ht="12.75">
      <c r="A31" s="50"/>
      <c r="C31" s="50"/>
      <c r="D31" s="50"/>
      <c r="E31" s="50"/>
      <c r="G31" s="50"/>
      <c r="H31" s="85"/>
      <c r="I31" s="51"/>
      <c r="K31" s="83"/>
      <c r="L31" s="79"/>
      <c r="M31" s="78"/>
      <c r="N31" s="79"/>
      <c r="O31" s="50"/>
    </row>
    <row r="32" spans="1:15" ht="12.75">
      <c r="A32" s="51">
        <v>11</v>
      </c>
      <c r="B32" t="s">
        <v>93</v>
      </c>
      <c r="C32" s="51">
        <v>4</v>
      </c>
      <c r="D32" s="51">
        <v>76.8</v>
      </c>
      <c r="E32" s="85">
        <f>SUM(G32:O32)</f>
        <v>5068.7339999999995</v>
      </c>
      <c r="G32" s="51"/>
      <c r="H32" s="76">
        <f>D32*H9</f>
        <v>784.8960000000001</v>
      </c>
      <c r="I32" s="51">
        <f>D32*$I$9</f>
        <v>338.688</v>
      </c>
      <c r="J32">
        <f>J9</f>
        <v>7.91</v>
      </c>
      <c r="K32" s="83">
        <f>D32*$K$9*7.5/12</f>
        <v>1522.5600000000002</v>
      </c>
      <c r="L32" s="79">
        <f>$L$9*C32</f>
        <v>1521.48</v>
      </c>
      <c r="M32" s="78"/>
      <c r="N32" s="127">
        <f>$N$9*C32</f>
        <v>350.2</v>
      </c>
      <c r="O32" s="76">
        <f>O26</f>
        <v>543</v>
      </c>
    </row>
    <row r="33" spans="1:15" s="41" customFormat="1" ht="12.75">
      <c r="A33" s="50"/>
      <c r="C33" s="50"/>
      <c r="D33" s="50"/>
      <c r="E33" s="50"/>
      <c r="G33" s="50"/>
      <c r="H33" s="85"/>
      <c r="I33" s="51"/>
      <c r="K33" s="83"/>
      <c r="L33" s="79"/>
      <c r="M33" s="78"/>
      <c r="N33" s="127"/>
      <c r="O33" s="50"/>
    </row>
    <row r="34" spans="1:15" ht="12.75">
      <c r="A34" s="51">
        <v>12</v>
      </c>
      <c r="B34" t="s">
        <v>94</v>
      </c>
      <c r="C34" s="51">
        <v>4</v>
      </c>
      <c r="D34" s="51">
        <v>92.8</v>
      </c>
      <c r="E34" s="85">
        <f>SUM(G34:O34)</f>
        <v>5710.514</v>
      </c>
      <c r="G34" s="51"/>
      <c r="H34" s="76">
        <f>D34*H9</f>
        <v>948.416</v>
      </c>
      <c r="I34" s="51">
        <f>D34*$I$9</f>
        <v>409.248</v>
      </c>
      <c r="J34">
        <f>J9</f>
        <v>7.91</v>
      </c>
      <c r="K34" s="83">
        <f>D34*$K$9*7.5/12</f>
        <v>1839.76</v>
      </c>
      <c r="L34" s="79">
        <f>$L$9*C34</f>
        <v>1521.48</v>
      </c>
      <c r="M34" s="78"/>
      <c r="N34" s="127">
        <f>$N$9*C34</f>
        <v>350.2</v>
      </c>
      <c r="O34" s="76">
        <f>350*O9</f>
        <v>633.5</v>
      </c>
    </row>
    <row r="35" spans="1:15" s="41" customFormat="1" ht="12.75">
      <c r="A35" s="50"/>
      <c r="C35" s="50"/>
      <c r="D35" s="50"/>
      <c r="E35" s="50"/>
      <c r="G35" s="50"/>
      <c r="H35" s="85"/>
      <c r="I35" s="51"/>
      <c r="K35" s="83"/>
      <c r="L35" s="79"/>
      <c r="M35" s="78"/>
      <c r="N35" s="127"/>
      <c r="O35" s="50"/>
    </row>
    <row r="36" spans="1:15" ht="12.75">
      <c r="A36" s="51">
        <v>13</v>
      </c>
      <c r="B36" t="s">
        <v>95</v>
      </c>
      <c r="C36" s="51">
        <v>4</v>
      </c>
      <c r="D36" s="74">
        <v>71</v>
      </c>
      <c r="E36" s="85">
        <f>SUM(G36:O36)</f>
        <v>4868.895</v>
      </c>
      <c r="G36" s="51"/>
      <c r="H36" s="51">
        <f>D36*H9</f>
        <v>725.62</v>
      </c>
      <c r="I36" s="51">
        <f>D36*$I$9</f>
        <v>313.11</v>
      </c>
      <c r="J36">
        <f>J9</f>
        <v>7.91</v>
      </c>
      <c r="K36" s="83">
        <f>D36*$K$9*7.5/12</f>
        <v>1407.5749999999998</v>
      </c>
      <c r="L36" s="79">
        <f>$L$9*C36</f>
        <v>1521.48</v>
      </c>
      <c r="M36" s="78"/>
      <c r="N36" s="127">
        <f>$N$9*C36</f>
        <v>350.2</v>
      </c>
      <c r="O36" s="76">
        <f>O26</f>
        <v>543</v>
      </c>
    </row>
    <row r="37" spans="1:15" s="41" customFormat="1" ht="12.75">
      <c r="A37" s="50"/>
      <c r="C37" s="50"/>
      <c r="D37" s="50"/>
      <c r="E37" s="50"/>
      <c r="G37" s="50"/>
      <c r="H37" s="50"/>
      <c r="I37" s="51"/>
      <c r="K37" s="83"/>
      <c r="L37" s="79"/>
      <c r="M37" s="78"/>
      <c r="N37" s="127"/>
      <c r="O37" s="50"/>
    </row>
    <row r="38" spans="1:15" ht="12.75">
      <c r="A38" s="51">
        <v>14</v>
      </c>
      <c r="B38" t="s">
        <v>96</v>
      </c>
      <c r="C38" s="51">
        <v>4</v>
      </c>
      <c r="D38" s="51">
        <v>75.6</v>
      </c>
      <c r="E38" s="85">
        <f>SUM(G38:O38)</f>
        <v>5027.388</v>
      </c>
      <c r="G38" s="51"/>
      <c r="H38" s="76">
        <f>D38*H9</f>
        <v>772.632</v>
      </c>
      <c r="I38" s="51">
        <f>D38*$I$9</f>
        <v>333.39599999999996</v>
      </c>
      <c r="J38">
        <f>J9</f>
        <v>7.91</v>
      </c>
      <c r="K38" s="83">
        <f>D38*$K$9*7.5/12</f>
        <v>1498.7699999999998</v>
      </c>
      <c r="L38" s="79">
        <f>$L$9*C38</f>
        <v>1521.48</v>
      </c>
      <c r="M38" s="78"/>
      <c r="N38" s="127">
        <f>$N$9*C38</f>
        <v>350.2</v>
      </c>
      <c r="O38" s="76">
        <f>O36</f>
        <v>543</v>
      </c>
    </row>
    <row r="39" spans="1:15" s="41" customFormat="1" ht="12.75">
      <c r="A39" s="50"/>
      <c r="C39" s="50"/>
      <c r="D39" s="50"/>
      <c r="E39" s="50"/>
      <c r="G39" s="50"/>
      <c r="H39" s="85"/>
      <c r="I39" s="51"/>
      <c r="K39" s="83"/>
      <c r="L39" s="79"/>
      <c r="M39" s="78"/>
      <c r="N39" s="79"/>
      <c r="O39" s="50"/>
    </row>
    <row r="40" spans="1:15" ht="12.75">
      <c r="A40" s="51">
        <v>15</v>
      </c>
      <c r="B40" t="s">
        <v>97</v>
      </c>
      <c r="C40" s="51">
        <v>3</v>
      </c>
      <c r="D40" s="51">
        <v>92.3</v>
      </c>
      <c r="E40" s="85">
        <f>SUM(G40:O40)</f>
        <v>5134.8665</v>
      </c>
      <c r="G40" s="51"/>
      <c r="H40" s="76">
        <f>D40*H9</f>
        <v>943.306</v>
      </c>
      <c r="I40" s="76">
        <f>D40*$I$9</f>
        <v>407.043</v>
      </c>
      <c r="J40">
        <f>J9</f>
        <v>7.91</v>
      </c>
      <c r="K40" s="83">
        <f>D40*$K$9*7.5/12</f>
        <v>1829.8474999999999</v>
      </c>
      <c r="L40" s="79">
        <f>$L$9*C40</f>
        <v>1141.1100000000001</v>
      </c>
      <c r="M40" s="78"/>
      <c r="N40" s="79">
        <f>$N$9*C40</f>
        <v>262.65</v>
      </c>
      <c r="O40" s="76">
        <f>O38</f>
        <v>543</v>
      </c>
    </row>
    <row r="41" spans="1:15" s="41" customFormat="1" ht="12.75">
      <c r="A41" s="50"/>
      <c r="C41" s="50"/>
      <c r="D41" s="50"/>
      <c r="E41" s="50"/>
      <c r="G41" s="50"/>
      <c r="H41" s="85"/>
      <c r="I41" s="76"/>
      <c r="K41" s="83"/>
      <c r="L41" s="79"/>
      <c r="M41" s="78"/>
      <c r="N41" s="79"/>
      <c r="O41" s="50"/>
    </row>
    <row r="42" spans="1:15" ht="12.75">
      <c r="A42" s="51">
        <v>16</v>
      </c>
      <c r="B42" t="s">
        <v>98</v>
      </c>
      <c r="C42" s="51">
        <v>2</v>
      </c>
      <c r="D42" s="51">
        <v>59.3</v>
      </c>
      <c r="E42" s="85">
        <f>SUM(G42:O42)</f>
        <v>3439.4315</v>
      </c>
      <c r="G42" s="51"/>
      <c r="H42" s="76">
        <f>D42*H9</f>
        <v>606.046</v>
      </c>
      <c r="I42" s="76">
        <f>D42*$I$9</f>
        <v>261.513</v>
      </c>
      <c r="J42">
        <f>J9</f>
        <v>7.91</v>
      </c>
      <c r="K42" s="83">
        <f>D42*$K$9*7.5/12</f>
        <v>1175.6225</v>
      </c>
      <c r="L42" s="79">
        <f>$L$9*C42</f>
        <v>760.74</v>
      </c>
      <c r="M42" s="78"/>
      <c r="N42" s="127">
        <f>$N$9*C42</f>
        <v>175.1</v>
      </c>
      <c r="O42" s="76">
        <f>O44</f>
        <v>452.5</v>
      </c>
    </row>
    <row r="43" spans="1:15" s="41" customFormat="1" ht="12.75">
      <c r="A43" s="50"/>
      <c r="C43" s="50"/>
      <c r="D43" s="50"/>
      <c r="E43" s="50"/>
      <c r="G43" s="50"/>
      <c r="H43" s="85"/>
      <c r="I43" s="76"/>
      <c r="K43" s="83"/>
      <c r="L43" s="79"/>
      <c r="M43" s="78"/>
      <c r="N43" s="79"/>
      <c r="O43" s="50"/>
    </row>
    <row r="44" spans="1:15" ht="12.75">
      <c r="A44" s="51">
        <v>17</v>
      </c>
      <c r="B44" t="s">
        <v>99</v>
      </c>
      <c r="C44" s="51">
        <v>4</v>
      </c>
      <c r="D44" s="74">
        <v>51</v>
      </c>
      <c r="E44" s="85">
        <f>SUM(G44:O44)</f>
        <v>4089.2949999999996</v>
      </c>
      <c r="G44" s="51"/>
      <c r="H44" s="51">
        <f>D44*H9</f>
        <v>521.22</v>
      </c>
      <c r="I44" s="76">
        <f>D44*$I$9</f>
        <v>224.91</v>
      </c>
      <c r="J44">
        <f>J9</f>
        <v>7.91</v>
      </c>
      <c r="K44" s="83">
        <f>D44*$K$9*7.5/12</f>
        <v>1011.0749999999999</v>
      </c>
      <c r="L44" s="79">
        <f>$L$9*C44</f>
        <v>1521.48</v>
      </c>
      <c r="M44" s="78"/>
      <c r="N44" s="127">
        <f>$N$9*C44</f>
        <v>350.2</v>
      </c>
      <c r="O44" s="76">
        <f>O46</f>
        <v>452.5</v>
      </c>
    </row>
    <row r="45" spans="1:15" s="41" customFormat="1" ht="12.75">
      <c r="A45" s="50"/>
      <c r="C45" s="50"/>
      <c r="D45" s="50"/>
      <c r="E45" s="50"/>
      <c r="G45" s="50"/>
      <c r="H45" s="50"/>
      <c r="I45" s="76"/>
      <c r="K45" s="83"/>
      <c r="L45" s="79"/>
      <c r="M45" s="78"/>
      <c r="N45" s="79"/>
      <c r="O45" s="50"/>
    </row>
    <row r="46" spans="1:15" ht="12.75">
      <c r="A46" s="51">
        <v>18</v>
      </c>
      <c r="B46" t="s">
        <v>100</v>
      </c>
      <c r="C46" s="51">
        <v>3</v>
      </c>
      <c r="D46" s="51">
        <v>51.1</v>
      </c>
      <c r="E46" s="85">
        <f>SUM(G46:O46)</f>
        <v>3624.8205000000003</v>
      </c>
      <c r="G46" s="51"/>
      <c r="H46" s="76">
        <f>D46*H9</f>
        <v>522.2420000000001</v>
      </c>
      <c r="I46" s="76">
        <f>D46*$I$9</f>
        <v>225.35100000000003</v>
      </c>
      <c r="J46">
        <f>J9</f>
        <v>7.91</v>
      </c>
      <c r="K46" s="83">
        <f>D46*$K$9*7.5/12</f>
        <v>1013.0575</v>
      </c>
      <c r="L46" s="79">
        <f>$L$9*C46</f>
        <v>1141.1100000000001</v>
      </c>
      <c r="M46" s="78"/>
      <c r="N46" s="79">
        <f>$N$9*C46</f>
        <v>262.65</v>
      </c>
      <c r="O46" s="76">
        <f>O48</f>
        <v>452.5</v>
      </c>
    </row>
    <row r="47" spans="1:15" s="41" customFormat="1" ht="12.75">
      <c r="A47" s="50"/>
      <c r="C47" s="50"/>
      <c r="D47" s="50"/>
      <c r="E47" s="50"/>
      <c r="G47" s="50"/>
      <c r="H47" s="85"/>
      <c r="I47" s="76"/>
      <c r="K47" s="83"/>
      <c r="L47" s="79"/>
      <c r="M47" s="78"/>
      <c r="N47" s="79"/>
      <c r="O47" s="50"/>
    </row>
    <row r="48" spans="1:15" ht="12.75">
      <c r="A48" s="51">
        <v>19</v>
      </c>
      <c r="B48" t="s">
        <v>101</v>
      </c>
      <c r="C48" s="51">
        <v>4</v>
      </c>
      <c r="D48" s="51">
        <v>55.6</v>
      </c>
      <c r="E48" s="85">
        <f>SUM(G48:O48)</f>
        <v>4247.7880000000005</v>
      </c>
      <c r="G48" s="51"/>
      <c r="H48" s="76">
        <f>D48*H9</f>
        <v>568.2320000000001</v>
      </c>
      <c r="I48" s="76">
        <f>D48*$I$9</f>
        <v>245.19600000000003</v>
      </c>
      <c r="J48">
        <f>J9</f>
        <v>7.91</v>
      </c>
      <c r="K48" s="83">
        <f>D48*$K$9*7.5/12</f>
        <v>1102.27</v>
      </c>
      <c r="L48" s="79">
        <f>$L$9*C48</f>
        <v>1521.48</v>
      </c>
      <c r="M48" s="78"/>
      <c r="N48" s="127">
        <f>$N$9*C48</f>
        <v>350.2</v>
      </c>
      <c r="O48" s="76">
        <f>O50</f>
        <v>452.5</v>
      </c>
    </row>
    <row r="49" spans="1:15" s="41" customFormat="1" ht="12.75">
      <c r="A49" s="50"/>
      <c r="C49" s="50"/>
      <c r="D49" s="50"/>
      <c r="E49" s="50"/>
      <c r="G49" s="50"/>
      <c r="H49" s="85"/>
      <c r="I49" s="51"/>
      <c r="K49" s="83"/>
      <c r="L49" s="79"/>
      <c r="M49" s="78"/>
      <c r="N49" s="79"/>
      <c r="O49" s="50"/>
    </row>
    <row r="50" spans="1:15" ht="12.75">
      <c r="A50" s="51">
        <v>20</v>
      </c>
      <c r="B50" t="s">
        <v>102</v>
      </c>
      <c r="C50" s="51">
        <v>2</v>
      </c>
      <c r="D50" s="51">
        <v>69.6</v>
      </c>
      <c r="E50" s="85">
        <f>SUM(G50:O50)</f>
        <v>3794.3179999999998</v>
      </c>
      <c r="G50" s="51"/>
      <c r="H50" s="76">
        <f>D50*H9</f>
        <v>711.312</v>
      </c>
      <c r="I50" s="51">
        <f>D50*$I$9</f>
        <v>306.936</v>
      </c>
      <c r="J50">
        <f>J9</f>
        <v>7.91</v>
      </c>
      <c r="K50" s="83">
        <f>D50*$K$9*7.5/12</f>
        <v>1379.8199999999997</v>
      </c>
      <c r="L50" s="79">
        <f>$L$9*C50</f>
        <v>760.74</v>
      </c>
      <c r="M50" s="78"/>
      <c r="N50" s="127">
        <f>$N$9*C50</f>
        <v>175.1</v>
      </c>
      <c r="O50" s="76">
        <f>O72</f>
        <v>452.5</v>
      </c>
    </row>
    <row r="51" spans="1:15" s="41" customFormat="1" ht="12.75">
      <c r="A51" s="50"/>
      <c r="C51" s="50"/>
      <c r="D51" s="50"/>
      <c r="E51" s="50"/>
      <c r="G51" s="50"/>
      <c r="H51" s="85"/>
      <c r="I51" s="51"/>
      <c r="K51" s="83"/>
      <c r="L51" s="79"/>
      <c r="M51" s="78"/>
      <c r="N51" s="79"/>
      <c r="O51" s="50"/>
    </row>
    <row r="52" spans="1:15" ht="12.75">
      <c r="A52" s="71" t="s">
        <v>125</v>
      </c>
      <c r="B52" t="s">
        <v>103</v>
      </c>
      <c r="C52" s="51">
        <v>3</v>
      </c>
      <c r="D52" s="51">
        <v>50.5</v>
      </c>
      <c r="E52" s="85">
        <f>SUM(G52:O52)</f>
        <v>3604.1475</v>
      </c>
      <c r="G52" s="51"/>
      <c r="H52" s="76">
        <f>D52*H9</f>
        <v>516.11</v>
      </c>
      <c r="I52" s="51">
        <f>D52*$I$9</f>
        <v>222.705</v>
      </c>
      <c r="J52">
        <f>J9</f>
        <v>7.91</v>
      </c>
      <c r="K52" s="83">
        <f>D52*$K$9*7.5/12</f>
        <v>1001.1624999999999</v>
      </c>
      <c r="L52" s="79">
        <f>$L$9*C52</f>
        <v>1141.1100000000001</v>
      </c>
      <c r="M52" s="78"/>
      <c r="N52" s="79">
        <f>$N$9*C52</f>
        <v>262.65</v>
      </c>
      <c r="O52" s="76">
        <f>O50</f>
        <v>452.5</v>
      </c>
    </row>
    <row r="53" spans="1:15" s="41" customFormat="1" ht="12.75">
      <c r="A53" s="50"/>
      <c r="C53" s="50"/>
      <c r="D53" s="50"/>
      <c r="E53" s="50"/>
      <c r="G53" s="50"/>
      <c r="H53" s="85"/>
      <c r="I53" s="51"/>
      <c r="K53" s="83"/>
      <c r="L53" s="79"/>
      <c r="M53" s="78"/>
      <c r="N53" s="79"/>
      <c r="O53" s="50"/>
    </row>
    <row r="54" spans="1:15" ht="12.75">
      <c r="A54" s="51">
        <v>21</v>
      </c>
      <c r="B54" t="s">
        <v>104</v>
      </c>
      <c r="C54" s="51">
        <v>3</v>
      </c>
      <c r="D54" s="51">
        <v>115.4</v>
      </c>
      <c r="E54" s="85">
        <f>SUM(G54:O54)</f>
        <v>5930.777</v>
      </c>
      <c r="G54" s="51"/>
      <c r="H54" s="76">
        <f>D54*H9</f>
        <v>1179.3880000000001</v>
      </c>
      <c r="I54" s="51">
        <f>D54*$I$9</f>
        <v>508.91400000000004</v>
      </c>
      <c r="J54">
        <f>J9</f>
        <v>7.91</v>
      </c>
      <c r="K54" s="83">
        <f>D54*$K$9*7.5/12</f>
        <v>2287.805</v>
      </c>
      <c r="L54" s="79">
        <f>$L$9*C54</f>
        <v>1141.1100000000001</v>
      </c>
      <c r="M54" s="78"/>
      <c r="N54" s="79">
        <f>$N$9*C54</f>
        <v>262.65</v>
      </c>
      <c r="O54" s="76">
        <f>O22</f>
        <v>543</v>
      </c>
    </row>
    <row r="55" spans="1:15" s="41" customFormat="1" ht="12.75">
      <c r="A55" s="50"/>
      <c r="C55" s="50"/>
      <c r="D55" s="50"/>
      <c r="E55" s="50"/>
      <c r="G55" s="50"/>
      <c r="H55" s="85"/>
      <c r="I55" s="51"/>
      <c r="K55" s="83"/>
      <c r="L55" s="79"/>
      <c r="M55" s="78"/>
      <c r="N55" s="79"/>
      <c r="O55" s="50"/>
    </row>
    <row r="56" spans="1:15" ht="12.75">
      <c r="A56" s="69">
        <v>22</v>
      </c>
      <c r="B56" s="67" t="s">
        <v>90</v>
      </c>
      <c r="C56" s="69">
        <v>3</v>
      </c>
      <c r="D56" s="69">
        <v>132.4</v>
      </c>
      <c r="E56" s="86">
        <f>SUM(G56:O56)</f>
        <v>1061.848</v>
      </c>
      <c r="F56" s="68"/>
      <c r="G56" s="75">
        <f>D56*G9</f>
        <v>1061.848</v>
      </c>
      <c r="H56" s="69"/>
      <c r="I56" s="69"/>
      <c r="J56" s="68"/>
      <c r="K56" s="75"/>
      <c r="L56" s="68"/>
      <c r="M56" s="69"/>
      <c r="N56" s="68"/>
      <c r="O56" s="69"/>
    </row>
    <row r="57" spans="1:15" s="41" customFormat="1" ht="12.75">
      <c r="A57" s="82"/>
      <c r="B57" s="67"/>
      <c r="C57" s="82"/>
      <c r="D57" s="82"/>
      <c r="E57" s="82"/>
      <c r="F57" s="67"/>
      <c r="G57" s="86"/>
      <c r="H57" s="82"/>
      <c r="I57" s="69"/>
      <c r="J57" s="67"/>
      <c r="K57" s="75"/>
      <c r="L57" s="68"/>
      <c r="M57" s="69"/>
      <c r="N57" s="68"/>
      <c r="O57" s="82"/>
    </row>
    <row r="58" spans="1:15" ht="12.75">
      <c r="A58" s="51">
        <v>23</v>
      </c>
      <c r="B58" t="s">
        <v>105</v>
      </c>
      <c r="C58" s="51">
        <v>3</v>
      </c>
      <c r="D58" s="51">
        <v>115.4</v>
      </c>
      <c r="E58" s="85">
        <f>SUM(G58:O58)</f>
        <v>5964.7145</v>
      </c>
      <c r="G58" s="51"/>
      <c r="H58" s="76">
        <f>D58*H9</f>
        <v>1179.3880000000001</v>
      </c>
      <c r="I58" s="51">
        <f>D58*$I$9</f>
        <v>508.91400000000004</v>
      </c>
      <c r="J58">
        <f>J9</f>
        <v>7.91</v>
      </c>
      <c r="K58" s="83">
        <f>D58*$K$9*7.5/12</f>
        <v>2287.805</v>
      </c>
      <c r="L58" s="79">
        <f>$L$9*C58</f>
        <v>1141.1100000000001</v>
      </c>
      <c r="M58" s="78"/>
      <c r="N58" s="79">
        <f>$N$9*C58</f>
        <v>262.65</v>
      </c>
      <c r="O58" s="76">
        <f>O18</f>
        <v>576.9375</v>
      </c>
    </row>
    <row r="59" spans="1:15" s="41" customFormat="1" ht="12.75">
      <c r="A59" s="50"/>
      <c r="C59" s="50"/>
      <c r="D59" s="50"/>
      <c r="E59" s="50"/>
      <c r="G59" s="50"/>
      <c r="H59" s="85"/>
      <c r="I59" s="51">
        <f>D59*$I$9</f>
        <v>0</v>
      </c>
      <c r="K59" s="83"/>
      <c r="L59" s="79"/>
      <c r="M59" s="78"/>
      <c r="N59" s="79"/>
      <c r="O59" s="50"/>
    </row>
    <row r="60" spans="1:15" ht="12.75">
      <c r="A60" s="51">
        <v>24</v>
      </c>
      <c r="B60" t="s">
        <v>106</v>
      </c>
      <c r="C60" s="51">
        <v>4</v>
      </c>
      <c r="D60" s="74">
        <v>133</v>
      </c>
      <c r="E60" s="85">
        <f>SUM(G60:O60)</f>
        <v>7039.0425000000005</v>
      </c>
      <c r="G60" s="51"/>
      <c r="H60" s="51">
        <f>D60*H9</f>
        <v>1359.26</v>
      </c>
      <c r="I60" s="51">
        <f>D60*$I$9</f>
        <v>586.53</v>
      </c>
      <c r="J60">
        <f>J9</f>
        <v>7.91</v>
      </c>
      <c r="K60" s="83">
        <f>D60*$K$9*7.5/12</f>
        <v>2636.725</v>
      </c>
      <c r="L60" s="79">
        <f>$L$9*C60</f>
        <v>1521.48</v>
      </c>
      <c r="M60" s="78"/>
      <c r="N60" s="127">
        <f>$N$9*C60</f>
        <v>350.2</v>
      </c>
      <c r="O60" s="76">
        <f>O58</f>
        <v>576.9375</v>
      </c>
    </row>
    <row r="61" spans="1:15" s="41" customFormat="1" ht="12.75">
      <c r="A61" s="50"/>
      <c r="C61" s="50"/>
      <c r="D61" s="50"/>
      <c r="E61" s="50"/>
      <c r="G61" s="50"/>
      <c r="H61" s="50"/>
      <c r="I61" s="51"/>
      <c r="K61" s="83"/>
      <c r="L61" s="79"/>
      <c r="M61" s="78"/>
      <c r="N61" s="79"/>
      <c r="O61" s="50"/>
    </row>
    <row r="62" spans="1:15" ht="12.75">
      <c r="A62" s="51">
        <v>25</v>
      </c>
      <c r="B62" t="s">
        <v>107</v>
      </c>
      <c r="C62" s="51">
        <v>3</v>
      </c>
      <c r="D62" s="51">
        <v>115.8</v>
      </c>
      <c r="E62" s="85">
        <f>SUM(G62:O62)</f>
        <v>5978.496499999999</v>
      </c>
      <c r="G62" s="51"/>
      <c r="H62" s="76">
        <f>D62*H9</f>
        <v>1183.476</v>
      </c>
      <c r="I62" s="51">
        <f>D62*$I$9</f>
        <v>510.678</v>
      </c>
      <c r="J62">
        <f>J9</f>
        <v>7.91</v>
      </c>
      <c r="K62" s="83">
        <f>D62*$K$9*7.5/12</f>
        <v>2295.735</v>
      </c>
      <c r="L62" s="79">
        <f>$L$9*C62</f>
        <v>1141.1100000000001</v>
      </c>
      <c r="M62" s="78"/>
      <c r="N62" s="79">
        <f>$N$9*C62</f>
        <v>262.65</v>
      </c>
      <c r="O62" s="76">
        <f>O60</f>
        <v>576.9375</v>
      </c>
    </row>
    <row r="63" spans="1:15" s="41" customFormat="1" ht="12.75">
      <c r="A63" s="50"/>
      <c r="C63" s="50"/>
      <c r="D63" s="50"/>
      <c r="E63" s="50"/>
      <c r="G63" s="50"/>
      <c r="H63" s="85"/>
      <c r="I63" s="51"/>
      <c r="K63" s="83"/>
      <c r="L63" s="79"/>
      <c r="M63" s="78"/>
      <c r="N63" s="79"/>
      <c r="O63" s="50"/>
    </row>
    <row r="64" spans="1:15" ht="12.75">
      <c r="A64" s="51">
        <v>26</v>
      </c>
      <c r="B64" t="s">
        <v>126</v>
      </c>
      <c r="C64" s="51">
        <v>4</v>
      </c>
      <c r="D64" s="51">
        <v>133.3</v>
      </c>
      <c r="E64" s="85">
        <f>SUM(G64:O64)</f>
        <v>7049.379</v>
      </c>
      <c r="G64" s="51"/>
      <c r="H64" s="76">
        <f>D64*H9</f>
        <v>1362.3260000000002</v>
      </c>
      <c r="I64" s="76">
        <f>D64*$I$9</f>
        <v>587.8530000000001</v>
      </c>
      <c r="J64">
        <f>J9</f>
        <v>7.91</v>
      </c>
      <c r="K64" s="83">
        <f>D64*$K$9*7.5/12</f>
        <v>2642.6725</v>
      </c>
      <c r="L64" s="79">
        <f>$L$9*C64</f>
        <v>1521.48</v>
      </c>
      <c r="M64" s="78"/>
      <c r="N64" s="127">
        <f>$N$9*C64</f>
        <v>350.2</v>
      </c>
      <c r="O64" s="76">
        <f>O62</f>
        <v>576.9375</v>
      </c>
    </row>
    <row r="65" spans="1:15" s="41" customFormat="1" ht="12.75">
      <c r="A65" s="80"/>
      <c r="B65" s="81"/>
      <c r="C65" s="80"/>
      <c r="D65" s="80"/>
      <c r="E65" s="80"/>
      <c r="F65" s="81"/>
      <c r="G65" s="80"/>
      <c r="H65" s="84"/>
      <c r="I65" s="78"/>
      <c r="J65" s="81"/>
      <c r="K65" s="83"/>
      <c r="L65" s="79"/>
      <c r="M65" s="78"/>
      <c r="N65" s="79"/>
      <c r="O65" s="80"/>
    </row>
    <row r="66" spans="1:15" ht="12.75">
      <c r="A66" s="69">
        <v>27</v>
      </c>
      <c r="B66" s="67" t="s">
        <v>90</v>
      </c>
      <c r="C66" s="77" t="s">
        <v>131</v>
      </c>
      <c r="D66" s="69">
        <v>116.3</v>
      </c>
      <c r="E66" s="86">
        <f>SUM(G66:O66)</f>
        <v>932.7259999999999</v>
      </c>
      <c r="F66" s="68"/>
      <c r="G66" s="75">
        <f>D66*G9</f>
        <v>932.7259999999999</v>
      </c>
      <c r="H66" s="69"/>
      <c r="I66" s="75"/>
      <c r="J66" s="68"/>
      <c r="K66" s="75"/>
      <c r="L66" s="68"/>
      <c r="M66" s="69"/>
      <c r="N66" s="68"/>
      <c r="O66" s="69"/>
    </row>
    <row r="67" spans="1:15" s="41" customFormat="1" ht="12.75">
      <c r="A67" s="82"/>
      <c r="B67" s="67"/>
      <c r="C67" s="82"/>
      <c r="D67" s="82"/>
      <c r="E67" s="82"/>
      <c r="F67" s="67"/>
      <c r="G67" s="86"/>
      <c r="H67" s="82"/>
      <c r="I67" s="69"/>
      <c r="J67" s="67"/>
      <c r="K67" s="75"/>
      <c r="L67" s="68"/>
      <c r="M67" s="69"/>
      <c r="N67" s="68"/>
      <c r="O67" s="86"/>
    </row>
    <row r="68" spans="1:15" ht="12.75">
      <c r="A68" s="78">
        <v>28</v>
      </c>
      <c r="B68" s="79" t="s">
        <v>124</v>
      </c>
      <c r="C68" s="78">
        <v>3</v>
      </c>
      <c r="D68" s="78">
        <v>71.4</v>
      </c>
      <c r="E68" s="84">
        <f>SUM(G68:O68)</f>
        <v>4365.7361666666675</v>
      </c>
      <c r="F68" s="79"/>
      <c r="G68" s="78"/>
      <c r="H68" s="83">
        <f>D68*H9</f>
        <v>729.7080000000001</v>
      </c>
      <c r="I68" s="78">
        <f>D68*$I$9</f>
        <v>314.874</v>
      </c>
      <c r="J68" s="79">
        <f>J9</f>
        <v>7.91</v>
      </c>
      <c r="K68" s="83">
        <f>D68*$K$9*7.5/12</f>
        <v>1415.505</v>
      </c>
      <c r="L68" s="79">
        <f>$L$9*C68</f>
        <v>1141.1100000000001</v>
      </c>
      <c r="M68" s="78"/>
      <c r="N68" s="79">
        <f>$N$9*C68</f>
        <v>262.65</v>
      </c>
      <c r="O68" s="83">
        <f>(250*7.5+400*3.5)/12*O9</f>
        <v>493.97916666666674</v>
      </c>
    </row>
    <row r="69" spans="1:15" ht="12.75">
      <c r="A69" s="51"/>
      <c r="C69" s="51"/>
      <c r="D69" s="51"/>
      <c r="E69" s="50"/>
      <c r="G69" s="51"/>
      <c r="H69" s="76"/>
      <c r="I69" s="51"/>
      <c r="K69" s="83"/>
      <c r="L69" s="79"/>
      <c r="M69" s="78"/>
      <c r="N69" s="79"/>
      <c r="O69" s="51"/>
    </row>
    <row r="70" spans="1:15" ht="12.75">
      <c r="A70" s="51">
        <v>29</v>
      </c>
      <c r="B70" t="s">
        <v>108</v>
      </c>
      <c r="C70" s="51">
        <v>3</v>
      </c>
      <c r="D70" s="51">
        <v>54.4</v>
      </c>
      <c r="E70" s="85">
        <f>SUM(G70:O70)</f>
        <v>3780.001166666667</v>
      </c>
      <c r="G70" s="51"/>
      <c r="H70" s="76">
        <f>D70*H9</f>
        <v>555.9680000000001</v>
      </c>
      <c r="I70" s="51">
        <f>D70*$I$9</f>
        <v>239.904</v>
      </c>
      <c r="J70">
        <f>J9</f>
        <v>7.91</v>
      </c>
      <c r="K70" s="83">
        <f>D70*$K$9*7.5/12</f>
        <v>1078.48</v>
      </c>
      <c r="L70" s="79">
        <f>$L$9*C70</f>
        <v>1141.1100000000001</v>
      </c>
      <c r="M70" s="78"/>
      <c r="N70" s="79">
        <f>$N$9*C70</f>
        <v>262.65</v>
      </c>
      <c r="O70" s="76">
        <f>O68</f>
        <v>493.97916666666674</v>
      </c>
    </row>
    <row r="71" spans="1:15" s="41" customFormat="1" ht="12.75">
      <c r="A71" s="50"/>
      <c r="C71" s="50"/>
      <c r="D71" s="50"/>
      <c r="E71" s="50"/>
      <c r="G71" s="50"/>
      <c r="H71" s="85"/>
      <c r="I71" s="51"/>
      <c r="K71" s="83"/>
      <c r="L71" s="79"/>
      <c r="M71" s="78"/>
      <c r="N71" s="79"/>
      <c r="O71" s="50"/>
    </row>
    <row r="72" spans="1:15" ht="12.75">
      <c r="A72" s="78">
        <v>30</v>
      </c>
      <c r="B72" s="79" t="s">
        <v>109</v>
      </c>
      <c r="C72" s="78">
        <v>2</v>
      </c>
      <c r="D72" s="78">
        <v>51.8</v>
      </c>
      <c r="E72" s="85">
        <f>SUM(G72:O72)</f>
        <v>3181.019</v>
      </c>
      <c r="F72" s="79"/>
      <c r="G72" s="78"/>
      <c r="H72" s="83">
        <f>D72*H9</f>
        <v>529.396</v>
      </c>
      <c r="I72" s="51">
        <f>D72*$I$9</f>
        <v>228.438</v>
      </c>
      <c r="J72">
        <f>J9</f>
        <v>7.91</v>
      </c>
      <c r="K72" s="83">
        <f>D72*$K$9*7.5/12</f>
        <v>1026.9349999999997</v>
      </c>
      <c r="L72" s="79">
        <f>$L$9*C72</f>
        <v>760.74</v>
      </c>
      <c r="M72" s="78"/>
      <c r="N72" s="127">
        <f>$N$9*C72</f>
        <v>175.1</v>
      </c>
      <c r="O72" s="83">
        <f>250*O9</f>
        <v>452.5</v>
      </c>
    </row>
    <row r="73" spans="1:15" s="41" customFormat="1" ht="12.75">
      <c r="A73" s="80"/>
      <c r="B73" s="81"/>
      <c r="C73" s="80"/>
      <c r="D73" s="80"/>
      <c r="E73" s="80"/>
      <c r="F73" s="81"/>
      <c r="G73" s="80"/>
      <c r="H73" s="84"/>
      <c r="I73" s="51"/>
      <c r="J73" s="81"/>
      <c r="K73" s="83"/>
      <c r="L73" s="79"/>
      <c r="M73" s="78"/>
      <c r="N73" s="127"/>
      <c r="O73" s="80"/>
    </row>
    <row r="74" spans="1:15" ht="12.75">
      <c r="A74" s="72">
        <v>31</v>
      </c>
      <c r="B74" s="73" t="s">
        <v>110</v>
      </c>
      <c r="C74" s="72">
        <v>2</v>
      </c>
      <c r="D74" s="72">
        <v>55.1</v>
      </c>
      <c r="E74" s="87">
        <f>SUM(G74:O74)</f>
        <v>3294.7205</v>
      </c>
      <c r="F74" s="73"/>
      <c r="G74" s="139"/>
      <c r="H74" s="140">
        <f>D74*H9</f>
        <v>563.1220000000001</v>
      </c>
      <c r="I74" s="139">
        <f>D74*$I$9</f>
        <v>242.991</v>
      </c>
      <c r="J74" s="141">
        <f>J9</f>
        <v>7.91</v>
      </c>
      <c r="K74" s="140">
        <f>D74*$K$9*7.5/12</f>
        <v>1092.3574999999998</v>
      </c>
      <c r="L74" s="141">
        <f>$L$9*C74</f>
        <v>760.74</v>
      </c>
      <c r="M74" s="139"/>
      <c r="N74" s="142">
        <f>$N$9*C74</f>
        <v>175.1</v>
      </c>
      <c r="O74" s="140">
        <f>O72</f>
        <v>452.5</v>
      </c>
    </row>
    <row r="75" spans="1:15" ht="12.75">
      <c r="A75" s="80"/>
      <c r="B75" s="81"/>
      <c r="C75" s="80"/>
      <c r="D75" s="80"/>
      <c r="E75" s="80"/>
      <c r="F75" s="81"/>
      <c r="G75" s="78"/>
      <c r="H75" s="78"/>
      <c r="I75" s="78"/>
      <c r="J75" s="79"/>
      <c r="K75" s="83"/>
      <c r="L75" s="79"/>
      <c r="M75" s="78"/>
      <c r="N75" s="127"/>
      <c r="O75" s="78"/>
    </row>
    <row r="76" spans="1:15" ht="12.75">
      <c r="A76" s="78">
        <v>32</v>
      </c>
      <c r="B76" s="79" t="s">
        <v>111</v>
      </c>
      <c r="C76" s="107">
        <v>2</v>
      </c>
      <c r="D76" s="108">
        <v>71</v>
      </c>
      <c r="E76" s="84">
        <f>SUM(G76:O76)</f>
        <v>3884.0341666666664</v>
      </c>
      <c r="F76" s="79"/>
      <c r="G76" s="78"/>
      <c r="H76" s="83">
        <f>D76*H9</f>
        <v>725.62</v>
      </c>
      <c r="I76" s="83">
        <f>D76*$I$9</f>
        <v>313.11</v>
      </c>
      <c r="J76" s="79">
        <f>J9</f>
        <v>7.91</v>
      </c>
      <c r="K76" s="83">
        <f aca="true" t="shared" si="0" ref="K76:K82">D76*$K$9*7.5/12</f>
        <v>1407.5749999999998</v>
      </c>
      <c r="L76" s="79">
        <f>$L$9*C76</f>
        <v>760.74</v>
      </c>
      <c r="M76" s="78"/>
      <c r="N76" s="127">
        <f aca="true" t="shared" si="1" ref="N76:N82">$N$9*C76</f>
        <v>175.1</v>
      </c>
      <c r="O76" s="83">
        <f>O68</f>
        <v>493.97916666666674</v>
      </c>
    </row>
    <row r="77" spans="1:15" ht="12.75">
      <c r="A77" s="78"/>
      <c r="B77" s="79"/>
      <c r="C77" s="78"/>
      <c r="D77" s="78"/>
      <c r="E77" s="85"/>
      <c r="F77" s="79"/>
      <c r="G77" s="78"/>
      <c r="H77" s="78"/>
      <c r="I77" s="51"/>
      <c r="J77" s="79"/>
      <c r="K77" s="83"/>
      <c r="L77" s="79"/>
      <c r="M77" s="78"/>
      <c r="N77" s="79"/>
      <c r="O77" s="78"/>
    </row>
    <row r="78" spans="1:15" ht="12.75">
      <c r="A78" s="51">
        <v>33</v>
      </c>
      <c r="B78" t="s">
        <v>112</v>
      </c>
      <c r="C78" s="51">
        <v>1</v>
      </c>
      <c r="D78" s="51">
        <v>55.3</v>
      </c>
      <c r="E78" s="85">
        <f>SUM(G78:O78)</f>
        <v>2833.6915</v>
      </c>
      <c r="G78" s="51"/>
      <c r="H78" s="76">
        <f>D78*H9</f>
        <v>565.166</v>
      </c>
      <c r="I78" s="76">
        <f>D78*$I$9</f>
        <v>243.873</v>
      </c>
      <c r="J78">
        <f>J9</f>
        <v>7.91</v>
      </c>
      <c r="K78" s="83">
        <f t="shared" si="0"/>
        <v>1096.3225</v>
      </c>
      <c r="L78" s="79">
        <f>$L$9*C78</f>
        <v>380.37</v>
      </c>
      <c r="M78" s="78"/>
      <c r="N78" s="79">
        <f t="shared" si="1"/>
        <v>87.55</v>
      </c>
      <c r="O78" s="76">
        <f>O74</f>
        <v>452.5</v>
      </c>
    </row>
    <row r="79" spans="1:15" s="41" customFormat="1" ht="12.75">
      <c r="A79" s="50"/>
      <c r="C79" s="50"/>
      <c r="D79" s="50"/>
      <c r="E79" s="50"/>
      <c r="G79" s="50"/>
      <c r="H79" s="85"/>
      <c r="I79" s="51"/>
      <c r="K79" s="83"/>
      <c r="L79" s="79"/>
      <c r="M79" s="78"/>
      <c r="N79" s="79"/>
      <c r="O79" s="50"/>
    </row>
    <row r="80" spans="1:15" ht="12.75">
      <c r="A80" s="51">
        <v>34</v>
      </c>
      <c r="B80" t="s">
        <v>113</v>
      </c>
      <c r="C80" s="51">
        <v>3</v>
      </c>
      <c r="D80" s="51">
        <v>51.9</v>
      </c>
      <c r="E80" s="85">
        <f>SUM(G80:O80)</f>
        <v>3652.3845</v>
      </c>
      <c r="G80" s="51"/>
      <c r="H80" s="76">
        <f>D80*H9</f>
        <v>530.418</v>
      </c>
      <c r="I80" s="76">
        <f>D80*$I$9</f>
        <v>228.879</v>
      </c>
      <c r="J80">
        <f>J9</f>
        <v>7.91</v>
      </c>
      <c r="K80" s="83">
        <f t="shared" si="0"/>
        <v>1028.9174999999998</v>
      </c>
      <c r="L80" s="79">
        <f>$L$9*C80</f>
        <v>1141.1100000000001</v>
      </c>
      <c r="M80" s="78"/>
      <c r="N80" s="79">
        <f t="shared" si="1"/>
        <v>262.65</v>
      </c>
      <c r="O80" s="76">
        <f>O78</f>
        <v>452.5</v>
      </c>
    </row>
    <row r="81" spans="1:15" s="41" customFormat="1" ht="12.75">
      <c r="A81" s="50"/>
      <c r="C81" s="50"/>
      <c r="D81" s="50"/>
      <c r="E81" s="50"/>
      <c r="G81" s="50"/>
      <c r="H81" s="85"/>
      <c r="I81" s="51"/>
      <c r="K81" s="83"/>
      <c r="L81" s="79"/>
      <c r="M81" s="78"/>
      <c r="N81" s="79"/>
      <c r="O81" s="50"/>
    </row>
    <row r="82" spans="1:15" ht="12.75">
      <c r="A82" s="51">
        <v>35</v>
      </c>
      <c r="B82" t="s">
        <v>114</v>
      </c>
      <c r="C82" s="51">
        <v>2</v>
      </c>
      <c r="D82" s="51">
        <v>55.2</v>
      </c>
      <c r="E82" s="85">
        <f>SUM(G82:O82)</f>
        <v>3298.1659999999997</v>
      </c>
      <c r="G82" s="51"/>
      <c r="H82" s="76">
        <f>D82*H9</f>
        <v>564.1440000000001</v>
      </c>
      <c r="I82" s="51">
        <f>D82*$I$9</f>
        <v>243.43200000000002</v>
      </c>
      <c r="J82">
        <f>J9</f>
        <v>7.91</v>
      </c>
      <c r="K82" s="83">
        <f t="shared" si="0"/>
        <v>1094.34</v>
      </c>
      <c r="L82" s="79">
        <f>$L$9*C82</f>
        <v>760.74</v>
      </c>
      <c r="M82" s="78"/>
      <c r="N82" s="127">
        <f t="shared" si="1"/>
        <v>175.1</v>
      </c>
      <c r="O82" s="76">
        <f>O80</f>
        <v>452.5</v>
      </c>
    </row>
    <row r="83" spans="1:15" s="41" customFormat="1" ht="12.75">
      <c r="A83" s="50"/>
      <c r="C83" s="50"/>
      <c r="D83" s="50"/>
      <c r="E83" s="50"/>
      <c r="G83" s="50"/>
      <c r="H83" s="85"/>
      <c r="I83" s="50"/>
      <c r="K83" s="50"/>
      <c r="L83" s="79"/>
      <c r="M83" s="78"/>
      <c r="N83" s="79"/>
      <c r="O83" s="50"/>
    </row>
    <row r="84" spans="1:15" ht="12.75">
      <c r="A84" s="51"/>
      <c r="C84" s="51"/>
      <c r="D84" s="51"/>
      <c r="E84" s="50"/>
      <c r="G84" s="51"/>
      <c r="H84" s="51"/>
      <c r="I84" s="51"/>
      <c r="K84" s="51"/>
      <c r="M84" s="51"/>
      <c r="O84" s="51"/>
    </row>
    <row r="85" spans="1:15" s="41" customFormat="1" ht="12.75">
      <c r="A85" s="72"/>
      <c r="B85" s="73" t="s">
        <v>127</v>
      </c>
      <c r="C85" s="72"/>
      <c r="D85" s="72"/>
      <c r="E85" s="87">
        <f>SUM(E12:E84)</f>
        <v>153474.9955</v>
      </c>
      <c r="F85" s="72"/>
      <c r="G85" s="72">
        <f aca="true" t="shared" si="2" ref="G85:O85">SUM(G12:G84)</f>
        <v>5261.12</v>
      </c>
      <c r="H85" s="87">
        <f t="shared" si="2"/>
        <v>25527.516</v>
      </c>
      <c r="I85" s="87">
        <f t="shared" si="2"/>
        <v>11610.207</v>
      </c>
      <c r="J85" s="72">
        <f t="shared" si="2"/>
        <v>261.0299999999999</v>
      </c>
      <c r="K85" s="87">
        <f t="shared" si="2"/>
        <v>52193.2775</v>
      </c>
      <c r="L85" s="72">
        <f t="shared" si="2"/>
        <v>34613.670000000006</v>
      </c>
      <c r="M85" s="72">
        <f t="shared" si="2"/>
        <v>0</v>
      </c>
      <c r="N85" s="72">
        <f t="shared" si="2"/>
        <v>7967.049999999998</v>
      </c>
      <c r="O85" s="87">
        <f t="shared" si="2"/>
        <v>16041.124999999998</v>
      </c>
    </row>
    <row r="86" spans="1:15" ht="12.75">
      <c r="A86" s="51"/>
      <c r="C86" s="51"/>
      <c r="D86" s="51"/>
      <c r="E86" s="50"/>
      <c r="G86" s="51"/>
      <c r="H86" s="51"/>
      <c r="I86" s="51"/>
      <c r="K86" s="51"/>
      <c r="M86" s="51"/>
      <c r="O86" s="51"/>
    </row>
    <row r="87" spans="1:15" ht="12.75">
      <c r="A87" s="69"/>
      <c r="B87" s="67" t="s">
        <v>128</v>
      </c>
      <c r="C87" s="69">
        <f>C12+C14+C16+C18+C20+C22+C26+C30+C32+C34+C36+C38+C40+C42+C44+C46+C48+C50+C52+C54+C56+C58+C60+C62+C64+C68+C70+C72+C74+C76+C78+C80+C82</f>
        <v>94</v>
      </c>
      <c r="D87" s="166">
        <f>SUM(D12:D82)</f>
        <v>3153.8000000000006</v>
      </c>
      <c r="E87" s="82">
        <f>E85*12</f>
        <v>1841699.946</v>
      </c>
      <c r="F87" s="68"/>
      <c r="G87" s="69">
        <f>G85*12</f>
        <v>63133.44</v>
      </c>
      <c r="H87" s="69">
        <f aca="true" t="shared" si="3" ref="H87:O87">H85*12</f>
        <v>306330.192</v>
      </c>
      <c r="I87" s="69">
        <f t="shared" si="3"/>
        <v>139322.484</v>
      </c>
      <c r="J87" s="69">
        <f t="shared" si="3"/>
        <v>3132.3599999999988</v>
      </c>
      <c r="K87" s="69">
        <f t="shared" si="3"/>
        <v>626319.33</v>
      </c>
      <c r="L87" s="69">
        <f t="shared" si="3"/>
        <v>415364.04000000004</v>
      </c>
      <c r="M87" s="69">
        <f t="shared" si="3"/>
        <v>0</v>
      </c>
      <c r="N87" s="69">
        <f t="shared" si="3"/>
        <v>95604.59999999998</v>
      </c>
      <c r="O87" s="69">
        <f t="shared" si="3"/>
        <v>192493.49999999997</v>
      </c>
    </row>
    <row r="88" spans="1:15" ht="12.75">
      <c r="A88" s="44"/>
      <c r="B88" s="42" t="s">
        <v>89</v>
      </c>
      <c r="C88" s="44"/>
      <c r="D88" s="44"/>
      <c r="E88" s="101"/>
      <c r="F88" s="42"/>
      <c r="G88" s="44"/>
      <c r="H88" s="44"/>
      <c r="I88" s="44"/>
      <c r="J88" s="42"/>
      <c r="K88" s="44"/>
      <c r="L88" s="42"/>
      <c r="M88" s="44"/>
      <c r="N88" s="42"/>
      <c r="O88" s="44"/>
    </row>
    <row r="89" spans="2:5" ht="12.75">
      <c r="B89" s="167" t="s">
        <v>180</v>
      </c>
      <c r="E89" s="168">
        <f>K87+L87+N87+O87</f>
        <v>1329781.47</v>
      </c>
    </row>
    <row r="90" spans="2:5" ht="12.75">
      <c r="B90" s="167" t="s">
        <v>181</v>
      </c>
      <c r="E90" s="168">
        <f>E87-E89</f>
        <v>511918.476</v>
      </c>
    </row>
    <row r="92" spans="2:5" ht="12.75">
      <c r="B92" s="41" t="s">
        <v>144</v>
      </c>
      <c r="C92" s="126" t="s">
        <v>137</v>
      </c>
      <c r="D92" s="112">
        <v>1184</v>
      </c>
      <c r="E92" s="41" t="s">
        <v>138</v>
      </c>
    </row>
    <row r="93" spans="2:5" ht="12.75">
      <c r="B93" t="s">
        <v>143</v>
      </c>
      <c r="D93" s="41">
        <v>2063143.7</v>
      </c>
      <c r="E93" s="41" t="s">
        <v>139</v>
      </c>
    </row>
    <row r="94" ht="12.75">
      <c r="C94" t="s">
        <v>140</v>
      </c>
    </row>
    <row r="95" spans="2:5" ht="12.75">
      <c r="B95" t="s">
        <v>142</v>
      </c>
      <c r="C95" t="s">
        <v>141</v>
      </c>
      <c r="D95" s="41">
        <v>1712182.4</v>
      </c>
      <c r="E95" s="41" t="s">
        <v>139</v>
      </c>
    </row>
  </sheetData>
  <mergeCells count="4">
    <mergeCell ref="G7:O7"/>
    <mergeCell ref="A2:O2"/>
    <mergeCell ref="A3:O3"/>
    <mergeCell ref="A4:O4"/>
  </mergeCells>
  <printOptions gridLines="1"/>
  <pageMargins left="0.36" right="0.23" top="0.31" bottom="0.53" header="0.23" footer="0.3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NK RN-SMNG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VVErshov</cp:lastModifiedBy>
  <cp:lastPrinted>2012-07-13T00:25:27Z</cp:lastPrinted>
  <dcterms:created xsi:type="dcterms:W3CDTF">2006-05-17T00:15:42Z</dcterms:created>
  <dcterms:modified xsi:type="dcterms:W3CDTF">2012-07-13T00:25:32Z</dcterms:modified>
  <cp:category/>
  <cp:version/>
  <cp:contentType/>
  <cp:contentStatus/>
</cp:coreProperties>
</file>