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0" activeTab="12"/>
  </bookViews>
  <sheets>
    <sheet name="Л18" sheetId="1" r:id="rId1"/>
    <sheet name="Лун20" sheetId="2" r:id="rId2"/>
    <sheet name="Лун19" sheetId="3" r:id="rId3"/>
    <sheet name="Л14" sheetId="4" r:id="rId4"/>
    <sheet name="Л10" sheetId="5" r:id="rId5"/>
    <sheet name="л3" sheetId="6" r:id="rId6"/>
    <sheet name="л8" sheetId="7" r:id="rId7"/>
    <sheet name="лун6" sheetId="8" r:id="rId8"/>
    <sheet name="Л15" sheetId="9" r:id="rId9"/>
    <sheet name="Лун 27" sheetId="10" r:id="rId10"/>
    <sheet name="Лун 22" sheetId="11" r:id="rId11"/>
    <sheet name="Лун 21" sheetId="12" r:id="rId12"/>
    <sheet name="Лун 17" sheetId="13" r:id="rId13"/>
    <sheet name="Лун16" sheetId="14" r:id="rId14"/>
    <sheet name="Лун 13" sheetId="15" r:id="rId15"/>
    <sheet name="Лун 12" sheetId="16" r:id="rId16"/>
    <sheet name="Лун 11" sheetId="17" r:id="rId17"/>
    <sheet name="Лун 9" sheetId="18" r:id="rId18"/>
    <sheet name="Лун 7" sheetId="19" r:id="rId19"/>
    <sheet name="Лун 5" sheetId="20" r:id="rId20"/>
    <sheet name="Лун 4" sheetId="21" r:id="rId21"/>
    <sheet name="лун 2" sheetId="22" r:id="rId22"/>
    <sheet name="лун св1" sheetId="23" r:id="rId23"/>
  </sheets>
  <definedNames/>
  <calcPr fullCalcOnLoad="1"/>
</workbook>
</file>

<file path=xl/sharedStrings.xml><?xml version="1.0" encoding="utf-8"?>
<sst xmlns="http://schemas.openxmlformats.org/spreadsheetml/2006/main" count="1936" uniqueCount="175">
  <si>
    <t>Наименование</t>
  </si>
  <si>
    <t>Начислено жителям дома</t>
  </si>
  <si>
    <t>Оплачено жителями</t>
  </si>
  <si>
    <t>Сделано перерасчетов по дому</t>
  </si>
  <si>
    <t>Задолженность жителей</t>
  </si>
  <si>
    <t>Фактические расходы ООО "ЖКК"</t>
  </si>
  <si>
    <t>по адресу:   ул.Лунного света, д 1</t>
  </si>
  <si>
    <t xml:space="preserve">                                      Отчет</t>
  </si>
  <si>
    <t xml:space="preserve">        о выполнении ООО "ЖКК" договора управления</t>
  </si>
  <si>
    <t xml:space="preserve">                Виды выполненных работ и услуг   </t>
  </si>
  <si>
    <t xml:space="preserve">Наименование работ </t>
  </si>
  <si>
    <t>Выполнено</t>
  </si>
  <si>
    <t>Сумма, руб.</t>
  </si>
  <si>
    <t>Благоустройство и обеспечение санитарного состояния</t>
  </si>
  <si>
    <t>жилых зданий и придомовой территории</t>
  </si>
  <si>
    <t>Летняя и зимняя уборка земельного участка, уборка мусора с газонов</t>
  </si>
  <si>
    <t>6 раз в неделю</t>
  </si>
  <si>
    <t>Стрижка газонов (окос) по 2 раза в месяц</t>
  </si>
  <si>
    <t>май-сентябрь</t>
  </si>
  <si>
    <t xml:space="preserve">                                         1 раз в месяц</t>
  </si>
  <si>
    <t>октябрь</t>
  </si>
  <si>
    <t>Подрезка кустов, удаление травы</t>
  </si>
  <si>
    <t>май-ноябрь</t>
  </si>
  <si>
    <t>Полив газонов</t>
  </si>
  <si>
    <t>июль- август</t>
  </si>
  <si>
    <t>Озеленение территории</t>
  </si>
  <si>
    <t>май- октябрь</t>
  </si>
  <si>
    <t>Расчистка территории от снега с привлечением транспорта, вывоз снега</t>
  </si>
  <si>
    <t>в зимний период</t>
  </si>
  <si>
    <t>Сдвижка и подметание снега при отсутствии снегопада и в дни гололеда</t>
  </si>
  <si>
    <t>январь-апрель, ноябрь,декабрь</t>
  </si>
  <si>
    <t>Очистка территорий у крылец и пешеходных дорожек,крышек люков и пожарных гидрантов от наледи и льда</t>
  </si>
  <si>
    <t>Посыпка территории песком, смесью</t>
  </si>
  <si>
    <t>январь-март, ноябрь,декабрь</t>
  </si>
  <si>
    <t>4 раза</t>
  </si>
  <si>
    <t>Уборка мусора на контейнерных площадках, площадок для мусора</t>
  </si>
  <si>
    <t>ежедневно</t>
  </si>
  <si>
    <t>Ремонт,покраска оборудования контейнерных площадок и контейнеров</t>
  </si>
  <si>
    <t>Вывоз мусора</t>
  </si>
  <si>
    <t>5 раз в неделю</t>
  </si>
  <si>
    <t>Работа уборщиц: уборка,мытье лестничных площадок и маршей всех этажей</t>
  </si>
  <si>
    <t>Протирка пыли с колпаков светильников, подоконников,мытье окон,дверей,влажная протирка стен в помещениях общего пользования</t>
  </si>
  <si>
    <t>по мере необходимости</t>
  </si>
  <si>
    <t>июнь-сентябрь</t>
  </si>
  <si>
    <t>Устранение неисправностей аварийного характера на сетях отопления, ГВС, ХВС</t>
  </si>
  <si>
    <t>Проведение технических осмотров с составлением актов для проведения необходимых работ</t>
  </si>
  <si>
    <t>весной при подготовке к зиме</t>
  </si>
  <si>
    <t>Электромонтажные работы.Ревизия ВРУ, ревизия этажных щитков (с составлением актов проведенных работ)</t>
  </si>
  <si>
    <t>Замена электроламп в местах общего пользования</t>
  </si>
  <si>
    <t>Замена элементов питания (батареек) в автономных датчиках противопожарной системы</t>
  </si>
  <si>
    <t>Чистка козырьков подъездов от снега и сбивание сосулек, очистка козырьков и входов в тех.помещение</t>
  </si>
  <si>
    <t>Расходы по управлению многоквартирным домом  в т.ч.</t>
  </si>
  <si>
    <t>оказание услуг паспортного стола</t>
  </si>
  <si>
    <t>круглосуточно</t>
  </si>
  <si>
    <t>в течение года</t>
  </si>
  <si>
    <t>выполнение заявок населения, поступивших лично или по телефону</t>
  </si>
  <si>
    <t>ВСЕГО РАСХОДОВ</t>
  </si>
  <si>
    <t>Дополнительные услуги</t>
  </si>
  <si>
    <t>В случае возникновения вопросов, Вы можете обратиться в рабочие часы</t>
  </si>
  <si>
    <t>в бухгалтерию ООО "ЖКК" (г. Южно-Сахалинск, ул. Солнечного света,1)</t>
  </si>
  <si>
    <t>или по тел.45-00-10; 45-02-51</t>
  </si>
  <si>
    <t>Информация размещена на сайте администрации г.Южно-Сахалинск</t>
  </si>
  <si>
    <t>Городское хозяйство-управляющие организации-</t>
  </si>
  <si>
    <t>yuzhno-sakh.ru/dirs/1082/orgs/142</t>
  </si>
  <si>
    <t>Содержание и тех.обслуживание, рублей</t>
  </si>
  <si>
    <t>Водоснабжение, водотведение, рублей</t>
  </si>
  <si>
    <t xml:space="preserve">Общая площадь дома 797,7 м2 </t>
  </si>
  <si>
    <t>по адресу:   ул.Лунного света, д 6</t>
  </si>
  <si>
    <t xml:space="preserve">Общая площадь дома 904,6 м2 </t>
  </si>
  <si>
    <t>по адресу:   ул.Лунного света, д 15</t>
  </si>
  <si>
    <t xml:space="preserve">Общая площадь дома 582 м2 </t>
  </si>
  <si>
    <t>Генеральный директор                                                    Е.Г.Алмаева</t>
  </si>
  <si>
    <t>по адресу:   ул.Лунного света, д 14</t>
  </si>
  <si>
    <t xml:space="preserve">Общая площадь дома 827,4 м2 </t>
  </si>
  <si>
    <t>по адресу:   ул.Лунного света, д 19</t>
  </si>
  <si>
    <t>по адресу:   ул.Лунного света, д 20</t>
  </si>
  <si>
    <t xml:space="preserve">Общая площадь дома 449,8 м2 </t>
  </si>
  <si>
    <t>по адресу:   ул.Лунного света, д 3</t>
  </si>
  <si>
    <t xml:space="preserve">Общая площадь дома 735,4 м2 </t>
  </si>
  <si>
    <t>по адресу:   ул.Лунного света, д 8</t>
  </si>
  <si>
    <t xml:space="preserve">Общая площадь дома 782,8 м2 </t>
  </si>
  <si>
    <t>по адресу:   ул.Лунного света, д 10</t>
  </si>
  <si>
    <t xml:space="preserve">Общая площадь дома 594,3 м2 </t>
  </si>
  <si>
    <t>по адресу:   ул.Лунного света, д 18</t>
  </si>
  <si>
    <t xml:space="preserve">Общая площадь дома 578,3 м2 </t>
  </si>
  <si>
    <t>оказание услуг по начислению и сбору платежей</t>
  </si>
  <si>
    <t>Ремонт веранды</t>
  </si>
  <si>
    <t xml:space="preserve">Общая площадь дома 421,4 м2 </t>
  </si>
  <si>
    <t>(понедельник- пятница с 9-00 до 18-00 ч., обеденный перерыв с 13-00 до 14-00 ч.)</t>
  </si>
  <si>
    <t>или по тел.45-00-10; 45-00-32</t>
  </si>
  <si>
    <t>по управлению и техническому обслуживанию общего имущества дома за 2014 год</t>
  </si>
  <si>
    <t xml:space="preserve">              многоквартирным домом за 2014 год</t>
  </si>
  <si>
    <t>Установка приборов учета ХВС,ГВС</t>
  </si>
  <si>
    <t>январь,август</t>
  </si>
  <si>
    <t>Установка приборов учета ХВС,ГВС (3шт)</t>
  </si>
  <si>
    <t>Ремонт фасада,крыши</t>
  </si>
  <si>
    <t>июнь,август</t>
  </si>
  <si>
    <t>март,июль,сентябрь</t>
  </si>
  <si>
    <t>июнь</t>
  </si>
  <si>
    <t>не более 8-ми час.</t>
  </si>
  <si>
    <t xml:space="preserve"> 1 раз в месяц</t>
  </si>
  <si>
    <t>Взнос на капитальный ремонт</t>
  </si>
  <si>
    <t>Дополнительные расходы</t>
  </si>
  <si>
    <t>январь</t>
  </si>
  <si>
    <t>май</t>
  </si>
  <si>
    <t>январь, апрель,ноябрь</t>
  </si>
  <si>
    <t>не более 8-ми час</t>
  </si>
  <si>
    <t>Ремонт фасада</t>
  </si>
  <si>
    <t>июль-август</t>
  </si>
  <si>
    <t>август</t>
  </si>
  <si>
    <t>Замена прибора учета ГВС</t>
  </si>
  <si>
    <t>Ремонт пергал</t>
  </si>
  <si>
    <t>май-август</t>
  </si>
  <si>
    <t>июнь- сентябрь</t>
  </si>
  <si>
    <t>Ремонт фасада,балконов</t>
  </si>
  <si>
    <t>июль-сентябрь</t>
  </si>
  <si>
    <t>Изоляция пергал</t>
  </si>
  <si>
    <t>Устранение неисправностей аварийного характера на сетях отопления, ГВС, ХВС,канализации</t>
  </si>
  <si>
    <t>Подготовка общего имущества дома к сезонной эксплуатации инженерных коммуникаций</t>
  </si>
  <si>
    <t>Подготовка общего имущества дома конструктивных элементов здания к сезонной эксплуатации</t>
  </si>
  <si>
    <t>Устранение неисправностей аварийного характера на сетях отопления, ГВС, ХВС, канализации</t>
  </si>
  <si>
    <t xml:space="preserve">Подготовка общего имущества дома конструтивных элементов к сезонной эксплуатации </t>
  </si>
  <si>
    <t>Услуги контролерской службы по обеспечению охранно-пожарных мероприятий на территории общего периметра застройки Грушевый сад</t>
  </si>
  <si>
    <t>Электромонтажные работы.Ревизия ВРУ, ревизия электрощитков (с составлением актов проведенных работ)</t>
  </si>
  <si>
    <t>Устранение неисправностей аварийного характера на сетях отопления, ГВС, ХВС,канализация</t>
  </si>
  <si>
    <t>Взнос на капитальный ремонт, рублей</t>
  </si>
  <si>
    <t>апрель</t>
  </si>
  <si>
    <t>февраль-сентябрь</t>
  </si>
  <si>
    <t>Ремонт фасада, кровли</t>
  </si>
  <si>
    <t>Подготовка общего имущества дома к сезонной эксплуатации конструктивных элементов здания к сезонной эксплуатации</t>
  </si>
  <si>
    <t>Подготовка общего имущества дома к сезонной эксплуатации  инженерных коммуникаций</t>
  </si>
  <si>
    <t>по адресу:   ул.Лунного света, д 2</t>
  </si>
  <si>
    <t xml:space="preserve">Общая площадь дома 786,2 м2 </t>
  </si>
  <si>
    <t>май-июль</t>
  </si>
  <si>
    <t xml:space="preserve">или по тел.45-00-10; </t>
  </si>
  <si>
    <t>не более 8 час</t>
  </si>
  <si>
    <t>январь,сентябрь</t>
  </si>
  <si>
    <t>по адресу:   ул.Лунного света, д 4</t>
  </si>
  <si>
    <t xml:space="preserve">Общая площадь дома 790,2 м2 </t>
  </si>
  <si>
    <t>по графику</t>
  </si>
  <si>
    <t>по адресу:   ул.Лунного света, д 5</t>
  </si>
  <si>
    <t xml:space="preserve">Общая площадь дома 785,7 м2 </t>
  </si>
  <si>
    <t>по адресу:   ул.Лунного света, д 7</t>
  </si>
  <si>
    <t xml:space="preserve">Подготовка общего имущества дома конструктивных элементов к сезонной эксплуатации </t>
  </si>
  <si>
    <t>не более 8час</t>
  </si>
  <si>
    <t>по адресу:   ул.Лунного света, д 9</t>
  </si>
  <si>
    <t xml:space="preserve">Общая площадь дома 579,8 м2 </t>
  </si>
  <si>
    <t>(понедельник- пятница с 9-00 до 18-00 ч., обеденный перерыв с 10-00 до 14-00 ч.)</t>
  </si>
  <si>
    <t>по адресу:   ул.Лунного света, д 11</t>
  </si>
  <si>
    <t xml:space="preserve">Общая площадь дома 785,8 м2 </t>
  </si>
  <si>
    <t>по грвфику</t>
  </si>
  <si>
    <t>по адресу:   ул.Лунного света, д 12</t>
  </si>
  <si>
    <t xml:space="preserve">Общая площадь дома 1280,3 м2 </t>
  </si>
  <si>
    <t>по адресу:   ул.Лунного света, д 13</t>
  </si>
  <si>
    <t xml:space="preserve">Общая площадь дома 597,5 м2 </t>
  </si>
  <si>
    <t>по адресу:   ул.Лунного света, д 16</t>
  </si>
  <si>
    <t xml:space="preserve">Общая площадь дома 582,5 м2 </t>
  </si>
  <si>
    <t>по адресу:   ул.Лунного света, д 17</t>
  </si>
  <si>
    <t xml:space="preserve">Общая площадь дома 578,8 м2 </t>
  </si>
  <si>
    <t>не более  8 час</t>
  </si>
  <si>
    <t>по адресу:   ул.Лунного света, д 21</t>
  </si>
  <si>
    <t xml:space="preserve">Общая площадь дома 783,1 м2 </t>
  </si>
  <si>
    <t>по адресу:   ул.Лунного света, д 22</t>
  </si>
  <si>
    <t xml:space="preserve">Общая площадь дома 785,3 м2 </t>
  </si>
  <si>
    <t>по адресу:   ул.Лунного света, д 27</t>
  </si>
  <si>
    <t xml:space="preserve">Общая площадь дома 2469 м2 </t>
  </si>
  <si>
    <t>не более 8 часов</t>
  </si>
  <si>
    <t xml:space="preserve">Замена батареек </t>
  </si>
  <si>
    <t>Уличное освещение</t>
  </si>
  <si>
    <t>май -ноябрь</t>
  </si>
  <si>
    <t>июнь-cентябрь</t>
  </si>
  <si>
    <t>3 раза</t>
  </si>
  <si>
    <t xml:space="preserve"> май-октябрь</t>
  </si>
  <si>
    <t>не более 8  час</t>
  </si>
  <si>
    <t>не более 8 час.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</si>
</sst>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  <numFmt numFmtId="183" formatCode="0.0000000"/>
    <numFmt numFmtId="184" formatCode="0.000000"/>
    <numFmt numFmtId="185" formatCode="0.00000000"/>
    <numFmt numFmtId="186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wrapText="1"/>
    </xf>
    <xf numFmtId="2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07"/>
  <sheetViews>
    <sheetView workbookViewId="0" topLeftCell="A24">
      <selection activeCell="D27" sqref="D27:D41"/>
    </sheetView>
  </sheetViews>
  <sheetFormatPr defaultColWidth="9.140625" defaultRowHeight="12.75"/>
  <cols>
    <col min="1" max="1" width="48.140625" style="0" customWidth="1"/>
    <col min="2" max="2" width="18.57421875" style="0" customWidth="1"/>
    <col min="3" max="3" width="19.57421875" style="0" customWidth="1"/>
    <col min="4" max="4" width="19.851562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83</v>
      </c>
    </row>
    <row r="12" ht="12.75">
      <c r="A12" t="s">
        <v>84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3" t="s">
        <v>125</v>
      </c>
      <c r="E13" s="1"/>
      <c r="F13" s="1"/>
      <c r="G13" s="1"/>
    </row>
    <row r="14" spans="1:7" ht="12.75">
      <c r="A14" s="3" t="s">
        <v>1</v>
      </c>
      <c r="B14" s="11">
        <v>168007.72</v>
      </c>
      <c r="C14" s="11">
        <v>85776.72</v>
      </c>
      <c r="D14" s="11">
        <v>11219.02</v>
      </c>
      <c r="E14" s="1"/>
      <c r="F14" s="1"/>
      <c r="G14" s="1"/>
    </row>
    <row r="15" spans="1:7" ht="12.75">
      <c r="A15" s="3" t="s">
        <v>2</v>
      </c>
      <c r="B15" s="11">
        <f>B14-B17</f>
        <v>164497.27</v>
      </c>
      <c r="C15" s="11">
        <f>C14-C17</f>
        <v>83234.28</v>
      </c>
      <c r="D15" s="11">
        <f>D14-D17</f>
        <v>5609.51</v>
      </c>
      <c r="E15" s="1"/>
      <c r="F15" s="1"/>
      <c r="G15" s="1"/>
    </row>
    <row r="16" spans="1:7" ht="12.75">
      <c r="A16" s="3" t="s">
        <v>3</v>
      </c>
      <c r="B16" s="11"/>
      <c r="C16" s="11"/>
      <c r="D16" s="11"/>
      <c r="E16" s="1"/>
      <c r="F16" s="1"/>
      <c r="G16" s="1"/>
    </row>
    <row r="17" spans="1:7" ht="12.75">
      <c r="A17" s="3" t="s">
        <v>4</v>
      </c>
      <c r="B17" s="11">
        <v>3510.45</v>
      </c>
      <c r="C17" s="11">
        <v>2542.44</v>
      </c>
      <c r="D17" s="11">
        <v>5609.51</v>
      </c>
      <c r="E17" s="1"/>
      <c r="F17" s="1"/>
      <c r="G17" s="1"/>
    </row>
    <row r="18" spans="1:7" ht="12.75">
      <c r="A18" s="3" t="s">
        <v>5</v>
      </c>
      <c r="B18" s="12">
        <f>D53+D55</f>
        <v>305358.858</v>
      </c>
      <c r="C18" s="11"/>
      <c r="D18" s="1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53" t="s">
        <v>10</v>
      </c>
      <c r="B23" s="54"/>
      <c r="C23" s="3" t="s">
        <v>11</v>
      </c>
      <c r="D23" s="3" t="s">
        <v>12</v>
      </c>
      <c r="E23" s="1"/>
      <c r="F23" s="1"/>
      <c r="G23" s="1"/>
    </row>
    <row r="24" spans="1:7" ht="12.75">
      <c r="A24" s="18"/>
      <c r="B24" s="24"/>
      <c r="C24" s="24"/>
      <c r="D24" s="21"/>
      <c r="E24" s="1"/>
      <c r="F24" s="1"/>
      <c r="G24" s="1"/>
    </row>
    <row r="25" spans="1:7" ht="12.75">
      <c r="A25" s="19" t="s">
        <v>13</v>
      </c>
      <c r="B25" s="16"/>
      <c r="C25" s="17"/>
      <c r="D25" s="22"/>
      <c r="E25" s="1"/>
      <c r="F25" s="1"/>
      <c r="G25" s="1"/>
    </row>
    <row r="26" spans="1:7" ht="12.75">
      <c r="A26" s="20" t="s">
        <v>14</v>
      </c>
      <c r="B26" s="25"/>
      <c r="C26" s="26"/>
      <c r="D26" s="23"/>
      <c r="E26" s="1"/>
      <c r="F26" s="1"/>
      <c r="G26" s="1"/>
    </row>
    <row r="27" spans="1:7" ht="25.5" customHeight="1">
      <c r="A27" s="55" t="s">
        <v>15</v>
      </c>
      <c r="B27" s="56"/>
      <c r="C27" s="3" t="s">
        <v>16</v>
      </c>
      <c r="D27" s="12">
        <f>6939.6*1.82</f>
        <v>12630.072000000002</v>
      </c>
      <c r="E27" s="1"/>
      <c r="F27" s="1"/>
      <c r="G27" s="14"/>
    </row>
    <row r="28" spans="1:7" ht="12.75">
      <c r="A28" s="55" t="s">
        <v>17</v>
      </c>
      <c r="B28" s="56"/>
      <c r="C28" s="3" t="s">
        <v>18</v>
      </c>
      <c r="D28" s="12">
        <f>6939.6*0.46</f>
        <v>3192.2160000000003</v>
      </c>
      <c r="E28" s="1"/>
      <c r="F28" s="1"/>
      <c r="G28" s="1"/>
    </row>
    <row r="29" spans="1:7" ht="12.75">
      <c r="A29" s="53" t="s">
        <v>100</v>
      </c>
      <c r="B29" s="54"/>
      <c r="C29" s="3" t="s">
        <v>20</v>
      </c>
      <c r="D29" s="12"/>
      <c r="E29" s="1"/>
      <c r="F29" s="1"/>
      <c r="G29" s="1"/>
    </row>
    <row r="30" spans="1:7" ht="12.75">
      <c r="A30" s="55" t="s">
        <v>21</v>
      </c>
      <c r="B30" s="56"/>
      <c r="C30" s="3" t="s">
        <v>22</v>
      </c>
      <c r="D30" s="12">
        <f>6939.6*0.16</f>
        <v>1110.336</v>
      </c>
      <c r="E30" s="1"/>
      <c r="F30" s="1"/>
      <c r="G30" s="1"/>
    </row>
    <row r="31" spans="1:7" ht="12.75">
      <c r="A31" s="55" t="s">
        <v>23</v>
      </c>
      <c r="B31" s="56"/>
      <c r="C31" s="3" t="s">
        <v>24</v>
      </c>
      <c r="D31" s="12">
        <f>6939.6*0.18</f>
        <v>1249.128</v>
      </c>
      <c r="E31" s="1"/>
      <c r="F31" s="1"/>
      <c r="G31" s="1"/>
    </row>
    <row r="32" spans="1:7" ht="12.75">
      <c r="A32" s="55" t="s">
        <v>25</v>
      </c>
      <c r="B32" s="56"/>
      <c r="C32" s="3" t="s">
        <v>26</v>
      </c>
      <c r="D32" s="12">
        <f>(6939.6*0.14)+78.46</f>
        <v>1050.0040000000001</v>
      </c>
      <c r="E32" s="1"/>
      <c r="F32" s="1"/>
      <c r="G32" s="1"/>
    </row>
    <row r="33" spans="1:7" ht="25.5" customHeight="1">
      <c r="A33" s="57" t="s">
        <v>27</v>
      </c>
      <c r="B33" s="58"/>
      <c r="C33" s="61" t="s">
        <v>28</v>
      </c>
      <c r="D33" s="12">
        <f>6939.6*1.64</f>
        <v>11380.944</v>
      </c>
      <c r="E33" s="1"/>
      <c r="F33" s="1"/>
      <c r="G33" s="1"/>
    </row>
    <row r="34" spans="1:7" ht="12.75">
      <c r="A34" s="59"/>
      <c r="B34" s="60"/>
      <c r="C34" s="62"/>
      <c r="D34" s="12">
        <v>9577.21</v>
      </c>
      <c r="E34" s="1"/>
      <c r="F34" s="1"/>
      <c r="G34" s="1"/>
    </row>
    <row r="35" spans="1:7" ht="25.5">
      <c r="A35" s="55" t="s">
        <v>29</v>
      </c>
      <c r="B35" s="56"/>
      <c r="C35" s="3" t="s">
        <v>30</v>
      </c>
      <c r="D35" s="12">
        <f>6939.6*0.87</f>
        <v>6037.452</v>
      </c>
      <c r="E35" s="1"/>
      <c r="F35" s="1"/>
      <c r="G35" s="1"/>
    </row>
    <row r="36" spans="1:7" ht="38.25" customHeight="1">
      <c r="A36" s="55" t="s">
        <v>31</v>
      </c>
      <c r="B36" s="56"/>
      <c r="C36" s="3" t="s">
        <v>30</v>
      </c>
      <c r="D36" s="12">
        <f>6939.6*0.69</f>
        <v>4788.324</v>
      </c>
      <c r="E36" s="1"/>
      <c r="F36" s="1"/>
      <c r="G36" s="1"/>
    </row>
    <row r="37" spans="1:7" ht="25.5">
      <c r="A37" s="55" t="s">
        <v>32</v>
      </c>
      <c r="B37" s="56"/>
      <c r="C37" s="3" t="s">
        <v>33</v>
      </c>
      <c r="D37" s="12">
        <f>6939.6*0.05</f>
        <v>346.98</v>
      </c>
      <c r="E37" s="1"/>
      <c r="F37" s="1"/>
      <c r="G37" s="1"/>
    </row>
    <row r="38" spans="1:7" ht="25.5" customHeight="1">
      <c r="A38" s="55" t="s">
        <v>50</v>
      </c>
      <c r="B38" s="56"/>
      <c r="C38" s="3" t="s">
        <v>34</v>
      </c>
      <c r="D38" s="12">
        <f>0.07*6939.6</f>
        <v>485.77200000000005</v>
      </c>
      <c r="E38" s="1"/>
      <c r="F38" s="1"/>
      <c r="G38" s="1"/>
    </row>
    <row r="39" spans="1:7" ht="18.75" customHeight="1">
      <c r="A39" s="55" t="s">
        <v>35</v>
      </c>
      <c r="B39" s="56"/>
      <c r="C39" s="3" t="s">
        <v>36</v>
      </c>
      <c r="D39" s="12">
        <f>6939.6*0.34</f>
        <v>2359.4640000000004</v>
      </c>
      <c r="E39" s="1"/>
      <c r="F39" s="1"/>
      <c r="G39" s="1"/>
    </row>
    <row r="40" spans="1:7" ht="20.25" customHeight="1">
      <c r="A40" s="55" t="s">
        <v>37</v>
      </c>
      <c r="B40" s="56"/>
      <c r="C40" s="3" t="s">
        <v>98</v>
      </c>
      <c r="D40" s="12">
        <f>6939.6*0.11</f>
        <v>763.356</v>
      </c>
      <c r="E40" s="1"/>
      <c r="F40" s="1"/>
      <c r="G40" s="1"/>
    </row>
    <row r="41" spans="1:7" ht="21.75" customHeight="1">
      <c r="A41" s="55" t="s">
        <v>38</v>
      </c>
      <c r="B41" s="56"/>
      <c r="C41" s="3" t="s">
        <v>36</v>
      </c>
      <c r="D41" s="12">
        <f>6939.6*5</f>
        <v>34698</v>
      </c>
      <c r="E41" s="1"/>
      <c r="F41" s="1"/>
      <c r="G41" s="1"/>
    </row>
    <row r="42" spans="1:7" ht="34.5" customHeight="1">
      <c r="A42" s="55" t="s">
        <v>119</v>
      </c>
      <c r="B42" s="56"/>
      <c r="C42" s="3" t="s">
        <v>26</v>
      </c>
      <c r="D42" s="12">
        <f>6939.6*1.31</f>
        <v>9090.876</v>
      </c>
      <c r="E42" s="1"/>
      <c r="F42" s="1"/>
      <c r="G42" s="1"/>
    </row>
    <row r="43" spans="1:7" ht="24" customHeight="1">
      <c r="A43" s="55" t="s">
        <v>118</v>
      </c>
      <c r="B43" s="56"/>
      <c r="C43" s="3" t="s">
        <v>43</v>
      </c>
      <c r="D43" s="12">
        <f>6939.6*1.53</f>
        <v>10617.588000000002</v>
      </c>
      <c r="E43" s="1"/>
      <c r="F43" s="1"/>
      <c r="G43" s="1"/>
    </row>
    <row r="44" spans="1:7" ht="27" customHeight="1">
      <c r="A44" s="55" t="s">
        <v>124</v>
      </c>
      <c r="B44" s="56"/>
      <c r="C44" s="3" t="s">
        <v>135</v>
      </c>
      <c r="D44" s="12"/>
      <c r="E44" s="1"/>
      <c r="F44" s="1"/>
      <c r="G44" s="1"/>
    </row>
    <row r="45" spans="1:7" ht="25.5">
      <c r="A45" s="55" t="s">
        <v>45</v>
      </c>
      <c r="B45" s="56"/>
      <c r="C45" s="3" t="s">
        <v>46</v>
      </c>
      <c r="D45" s="12">
        <f>6939.6*0.72</f>
        <v>4996.512</v>
      </c>
      <c r="E45" s="1"/>
      <c r="F45" s="1"/>
      <c r="G45" s="1"/>
    </row>
    <row r="46" spans="1:7" ht="33" customHeight="1">
      <c r="A46" s="55" t="s">
        <v>123</v>
      </c>
      <c r="B46" s="56"/>
      <c r="C46" s="3" t="s">
        <v>20</v>
      </c>
      <c r="D46" s="12">
        <f>6939.6*0.36</f>
        <v>2498.256</v>
      </c>
      <c r="E46" s="1"/>
      <c r="F46" s="1"/>
      <c r="G46" s="1"/>
    </row>
    <row r="47" spans="1:7" ht="25.5" customHeight="1">
      <c r="A47" s="55" t="s">
        <v>49</v>
      </c>
      <c r="B47" s="56"/>
      <c r="C47" s="3" t="s">
        <v>126</v>
      </c>
      <c r="D47" s="12">
        <v>128.74</v>
      </c>
      <c r="E47" s="1"/>
      <c r="F47" s="1"/>
      <c r="G47" s="1"/>
    </row>
    <row r="48" spans="1:7" ht="27.75" customHeight="1">
      <c r="A48" s="55" t="s">
        <v>122</v>
      </c>
      <c r="B48" s="56"/>
      <c r="C48" s="3" t="s">
        <v>53</v>
      </c>
      <c r="D48" s="12">
        <f>6939.6*19.77</f>
        <v>137195.892</v>
      </c>
      <c r="E48" s="1"/>
      <c r="F48" s="1"/>
      <c r="G48" s="1"/>
    </row>
    <row r="49" spans="1:7" ht="21.75" customHeight="1">
      <c r="A49" s="55" t="s">
        <v>51</v>
      </c>
      <c r="B49" s="56"/>
      <c r="C49" s="3" t="s">
        <v>36</v>
      </c>
      <c r="D49" s="12">
        <f>6939.6*5.26</f>
        <v>36502.296</v>
      </c>
      <c r="E49" s="1"/>
      <c r="F49" s="1"/>
      <c r="G49" s="1"/>
    </row>
    <row r="50" spans="1:7" ht="12.75">
      <c r="A50" s="55" t="s">
        <v>52</v>
      </c>
      <c r="B50" s="56"/>
      <c r="C50" s="3" t="s">
        <v>54</v>
      </c>
      <c r="D50" s="12"/>
      <c r="E50" s="1"/>
      <c r="F50" s="1"/>
      <c r="G50" s="1"/>
    </row>
    <row r="51" spans="1:7" ht="12.75">
      <c r="A51" s="55" t="s">
        <v>85</v>
      </c>
      <c r="B51" s="56"/>
      <c r="C51" s="3" t="s">
        <v>54</v>
      </c>
      <c r="D51" s="11"/>
      <c r="E51" s="1"/>
      <c r="F51" s="1"/>
      <c r="G51" s="1"/>
    </row>
    <row r="52" spans="1:7" ht="16.5" customHeight="1">
      <c r="A52" s="55" t="s">
        <v>55</v>
      </c>
      <c r="B52" s="56"/>
      <c r="C52" s="3" t="s">
        <v>36</v>
      </c>
      <c r="D52" s="11"/>
      <c r="E52" s="1"/>
      <c r="F52" s="1"/>
      <c r="G52" s="1"/>
    </row>
    <row r="53" spans="1:7" ht="21.75" customHeight="1">
      <c r="A53" s="63" t="s">
        <v>56</v>
      </c>
      <c r="B53" s="64"/>
      <c r="C53" s="10"/>
      <c r="D53" s="13">
        <f>SUM(D27:D52)</f>
        <v>290699.418</v>
      </c>
      <c r="E53" s="1"/>
      <c r="F53" s="1"/>
      <c r="G53" s="1"/>
    </row>
    <row r="54" spans="1:7" ht="12.75">
      <c r="A54" s="55" t="s">
        <v>102</v>
      </c>
      <c r="B54" s="56"/>
      <c r="C54" s="3"/>
      <c r="D54" s="11"/>
      <c r="E54" s="1"/>
      <c r="F54" s="1"/>
      <c r="G54" s="1"/>
    </row>
    <row r="55" spans="1:7" ht="12.75">
      <c r="A55" s="66" t="s">
        <v>107</v>
      </c>
      <c r="B55" s="66"/>
      <c r="C55" s="3" t="s">
        <v>112</v>
      </c>
      <c r="D55" s="11">
        <v>14659.44</v>
      </c>
      <c r="E55" s="1"/>
      <c r="F55" s="1"/>
      <c r="G55" s="1"/>
    </row>
    <row r="56" spans="1:7" ht="12.75">
      <c r="A56" s="67"/>
      <c r="B56" s="67"/>
      <c r="C56" s="1"/>
      <c r="D56" s="1"/>
      <c r="E56" s="1"/>
      <c r="F56" s="1"/>
      <c r="G56" s="1"/>
    </row>
    <row r="57" spans="1:7" ht="12.75">
      <c r="A57" s="67"/>
      <c r="B57" s="67"/>
      <c r="C57" s="1"/>
      <c r="D57" s="1"/>
      <c r="E57" s="1"/>
      <c r="F57" s="1"/>
      <c r="G57" s="1"/>
    </row>
    <row r="58" spans="1:7" ht="12.75">
      <c r="A58" s="65"/>
      <c r="B58" s="65"/>
      <c r="C58" s="1"/>
      <c r="D58" s="1"/>
      <c r="E58" s="1"/>
      <c r="F58" s="1"/>
      <c r="G58" s="1"/>
    </row>
    <row r="59" spans="1:7" ht="12.75">
      <c r="A59" s="5" t="s">
        <v>58</v>
      </c>
      <c r="B59" s="5"/>
      <c r="C59" s="5"/>
      <c r="D59" s="1"/>
      <c r="E59" s="1"/>
      <c r="F59" s="1"/>
      <c r="G59" s="1"/>
    </row>
    <row r="60" spans="1:7" ht="12.75">
      <c r="A60" s="5" t="s">
        <v>88</v>
      </c>
      <c r="B60" s="5"/>
      <c r="C60" s="5"/>
      <c r="D60" s="1"/>
      <c r="E60" s="1"/>
      <c r="F60" s="1"/>
      <c r="G60" s="1"/>
    </row>
    <row r="61" spans="1:7" ht="12.75">
      <c r="A61" s="5" t="s">
        <v>59</v>
      </c>
      <c r="B61" s="5"/>
      <c r="C61" s="5"/>
      <c r="D61" s="1"/>
      <c r="E61" s="1"/>
      <c r="F61" s="1"/>
      <c r="G61" s="1"/>
    </row>
    <row r="62" spans="1:7" ht="12.75">
      <c r="A62" s="5" t="s">
        <v>89</v>
      </c>
      <c r="B62" s="5"/>
      <c r="C62" s="5"/>
      <c r="D62" s="1"/>
      <c r="E62" s="1"/>
      <c r="F62" s="1"/>
      <c r="G62" s="1"/>
    </row>
    <row r="63" spans="1:7" ht="12.75">
      <c r="A63" s="5" t="s">
        <v>61</v>
      </c>
      <c r="B63" s="4"/>
      <c r="C63" s="4"/>
      <c r="D63" s="1"/>
      <c r="E63" s="1"/>
      <c r="F63" s="1"/>
      <c r="G63" s="1"/>
    </row>
    <row r="64" spans="1:7" ht="12.75">
      <c r="A64" s="5" t="s">
        <v>62</v>
      </c>
      <c r="B64" s="4"/>
      <c r="C64" s="4"/>
      <c r="D64" s="1"/>
      <c r="E64" s="1"/>
      <c r="F64" s="1"/>
      <c r="G64" s="1"/>
    </row>
    <row r="65" spans="1:7" ht="12.75">
      <c r="A65" s="5" t="s">
        <v>63</v>
      </c>
      <c r="B65" s="4"/>
      <c r="C65" s="4"/>
      <c r="D65" s="1"/>
      <c r="E65" s="1"/>
      <c r="F65" s="1"/>
      <c r="G65" s="1"/>
    </row>
    <row r="66" spans="1:7" ht="12.75">
      <c r="A66" s="4"/>
      <c r="B66" s="4"/>
      <c r="C66" s="4"/>
      <c r="D66" s="1"/>
      <c r="E66" s="1"/>
      <c r="F66" s="1"/>
      <c r="G66" s="1"/>
    </row>
    <row r="67" spans="1:7" ht="12.75">
      <c r="A67" s="5"/>
      <c r="B67" s="4"/>
      <c r="C67" s="4"/>
      <c r="D67" s="1"/>
      <c r="E67" s="1"/>
      <c r="F67" s="1"/>
      <c r="G67" s="1"/>
    </row>
    <row r="68" spans="1:7" ht="12.75">
      <c r="A68" s="5" t="s">
        <v>71</v>
      </c>
      <c r="B68" s="5"/>
      <c r="C68" s="4"/>
      <c r="D68" s="1"/>
      <c r="E68" s="1"/>
      <c r="F68" s="1"/>
      <c r="G68" s="1"/>
    </row>
    <row r="69" spans="1:7" ht="12.75">
      <c r="A69" s="4"/>
      <c r="B69" s="4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4"/>
      <c r="B71" s="4"/>
      <c r="C71" s="4"/>
      <c r="D71" s="1"/>
      <c r="E71" s="1"/>
      <c r="F71" s="1"/>
      <c r="G71" s="1"/>
    </row>
    <row r="72" spans="1:7" ht="12.75">
      <c r="A72" s="4"/>
      <c r="B72" s="4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</sheetData>
  <mergeCells count="35">
    <mergeCell ref="A52:B52"/>
    <mergeCell ref="A53:B53"/>
    <mergeCell ref="A54:B54"/>
    <mergeCell ref="A58:B58"/>
    <mergeCell ref="A55:B55"/>
    <mergeCell ref="A56:B56"/>
    <mergeCell ref="A57:B57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4"/>
    <mergeCell ref="C33:C34"/>
    <mergeCell ref="A35:B35"/>
    <mergeCell ref="A28:B28"/>
    <mergeCell ref="A29:B29"/>
    <mergeCell ref="A30:B30"/>
    <mergeCell ref="A31:B31"/>
    <mergeCell ref="A20:C20"/>
    <mergeCell ref="A21:C21"/>
    <mergeCell ref="A23:B23"/>
    <mergeCell ref="A27:B27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N109"/>
  <sheetViews>
    <sheetView workbookViewId="0" topLeftCell="A18">
      <selection activeCell="D27" sqref="D27:D42"/>
    </sheetView>
  </sheetViews>
  <sheetFormatPr defaultColWidth="9.140625" defaultRowHeight="12.75"/>
  <cols>
    <col min="1" max="1" width="47.421875" style="0" customWidth="1"/>
    <col min="2" max="3" width="19.28125" style="0" customWidth="1"/>
    <col min="4" max="4" width="18.57421875" style="0" customWidth="1"/>
    <col min="9" max="9" width="11.57421875" style="0" customWidth="1"/>
    <col min="10" max="11" width="10.7109375" style="0" customWidth="1"/>
  </cols>
  <sheetData>
    <row r="5" spans="1:4" ht="12.75">
      <c r="A5" s="8" t="s">
        <v>7</v>
      </c>
      <c r="B5" s="2"/>
      <c r="C5" s="2"/>
      <c r="D5" s="2"/>
    </row>
    <row r="6" spans="1:4" ht="12.75">
      <c r="A6" s="8" t="s">
        <v>8</v>
      </c>
      <c r="B6" s="2"/>
      <c r="C6" s="2"/>
      <c r="D6" s="2"/>
    </row>
    <row r="7" spans="1:4" ht="12.75">
      <c r="A7" s="8" t="s">
        <v>91</v>
      </c>
      <c r="B7" s="2"/>
      <c r="C7" s="2"/>
      <c r="D7" s="2"/>
    </row>
    <row r="8" spans="1:4" ht="12.75">
      <c r="A8" s="6"/>
      <c r="B8" s="2"/>
      <c r="C8" s="2"/>
      <c r="D8" s="2"/>
    </row>
    <row r="10" ht="12.75">
      <c r="A10" s="9" t="s">
        <v>164</v>
      </c>
    </row>
    <row r="12" ht="12.75">
      <c r="A12" t="s">
        <v>165</v>
      </c>
    </row>
    <row r="13" spans="1:9" ht="38.25" customHeight="1">
      <c r="A13" s="7" t="s">
        <v>0</v>
      </c>
      <c r="B13" s="7" t="s">
        <v>64</v>
      </c>
      <c r="C13" s="7" t="s">
        <v>65</v>
      </c>
      <c r="D13" s="7" t="s">
        <v>125</v>
      </c>
      <c r="E13" s="1"/>
      <c r="F13" s="1"/>
      <c r="G13" s="1"/>
      <c r="H13" s="1"/>
      <c r="I13" s="1"/>
    </row>
    <row r="14" spans="1:9" ht="12.75">
      <c r="A14" s="3" t="s">
        <v>1</v>
      </c>
      <c r="B14" s="11">
        <v>4279364.88</v>
      </c>
      <c r="C14" s="11">
        <v>671942.1</v>
      </c>
      <c r="D14" s="11">
        <v>47898.6</v>
      </c>
      <c r="E14" s="1"/>
      <c r="F14" s="1"/>
      <c r="G14" s="1"/>
      <c r="H14" s="1"/>
      <c r="I14" s="1"/>
    </row>
    <row r="15" spans="1:9" ht="12.75">
      <c r="A15" s="3" t="s">
        <v>2</v>
      </c>
      <c r="B15" s="11">
        <f>B14-B17</f>
        <v>3320369.62</v>
      </c>
      <c r="C15" s="11">
        <f>C14-C17</f>
        <v>310625.45999999996</v>
      </c>
      <c r="D15" s="11">
        <v>23919.3</v>
      </c>
      <c r="E15" s="1"/>
      <c r="F15" s="1"/>
      <c r="G15" s="1"/>
      <c r="H15" s="1"/>
      <c r="I15" s="1"/>
    </row>
    <row r="16" spans="1:9" ht="12.75">
      <c r="A16" s="3" t="s">
        <v>3</v>
      </c>
      <c r="B16" s="11"/>
      <c r="C16" s="11"/>
      <c r="D16" s="11"/>
      <c r="E16" s="1"/>
      <c r="F16" s="1"/>
      <c r="G16" s="1"/>
      <c r="H16" s="1"/>
      <c r="I16" s="1"/>
    </row>
    <row r="17" spans="1:9" ht="12.75">
      <c r="A17" s="3" t="s">
        <v>4</v>
      </c>
      <c r="B17" s="11">
        <v>958995.26</v>
      </c>
      <c r="C17" s="11">
        <v>361316.64</v>
      </c>
      <c r="D17" s="11">
        <f>D14-D15</f>
        <v>23979.3</v>
      </c>
      <c r="E17" s="1"/>
      <c r="F17" s="1"/>
      <c r="G17" s="1"/>
      <c r="H17" s="1"/>
      <c r="I17" s="1"/>
    </row>
    <row r="18" spans="1:9" ht="12.75">
      <c r="A18" s="3" t="s">
        <v>5</v>
      </c>
      <c r="B18" s="12">
        <f>D54</f>
        <v>4279364.88</v>
      </c>
      <c r="C18" s="11"/>
      <c r="D18" s="11"/>
      <c r="E18" s="1"/>
      <c r="F18" s="1"/>
      <c r="G18" s="1"/>
      <c r="H18" s="1"/>
      <c r="I18" s="1"/>
    </row>
    <row r="19" spans="1:9" ht="12.75">
      <c r="A19" s="1"/>
      <c r="B19" s="14"/>
      <c r="C19" s="14"/>
      <c r="D19" s="14"/>
      <c r="E19" s="1"/>
      <c r="F19" s="1"/>
      <c r="G19" s="1"/>
      <c r="H19" s="1"/>
      <c r="I19" s="1"/>
    </row>
    <row r="20" spans="1:9" ht="13.5" customHeight="1">
      <c r="A20" s="51" t="s">
        <v>9</v>
      </c>
      <c r="B20" s="51"/>
      <c r="C20" s="51"/>
      <c r="D20" s="35"/>
      <c r="E20" s="1"/>
      <c r="F20" s="1"/>
      <c r="G20" s="1"/>
      <c r="H20" s="1"/>
      <c r="I20" s="1"/>
    </row>
    <row r="21" spans="1:9" ht="16.5" customHeight="1">
      <c r="A21" s="52" t="s">
        <v>90</v>
      </c>
      <c r="B21" s="52"/>
      <c r="C21" s="52"/>
      <c r="D21" s="36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14" ht="12.75">
      <c r="A23" s="46" t="s">
        <v>10</v>
      </c>
      <c r="B23" s="47"/>
      <c r="C23" s="3" t="s">
        <v>11</v>
      </c>
      <c r="D23" s="3" t="s">
        <v>12</v>
      </c>
      <c r="E23" s="40"/>
      <c r="F23" s="40"/>
      <c r="G23" s="40"/>
      <c r="H23" s="40"/>
      <c r="I23" s="41"/>
      <c r="J23" s="42"/>
      <c r="K23" s="43"/>
      <c r="N23" s="45"/>
    </row>
    <row r="24" spans="1:14" ht="12.75">
      <c r="A24" s="1"/>
      <c r="B24" s="1"/>
      <c r="C24" s="1"/>
      <c r="D24" s="1"/>
      <c r="E24" s="40"/>
      <c r="F24" s="40"/>
      <c r="G24" s="40"/>
      <c r="H24" s="40"/>
      <c r="I24" s="40"/>
      <c r="J24" s="43"/>
      <c r="K24" s="43"/>
      <c r="N24" s="45"/>
    </row>
    <row r="25" spans="1:11" ht="12.75">
      <c r="A25" s="5" t="s">
        <v>13</v>
      </c>
      <c r="B25" s="5"/>
      <c r="C25" s="5"/>
      <c r="D25" s="4"/>
      <c r="E25" s="40"/>
      <c r="F25" s="40"/>
      <c r="G25" s="40"/>
      <c r="H25" s="40"/>
      <c r="I25" s="40"/>
      <c r="J25" s="43"/>
      <c r="K25" s="43"/>
    </row>
    <row r="26" spans="1:11" ht="12.75">
      <c r="A26" s="5" t="s">
        <v>14</v>
      </c>
      <c r="B26" s="5"/>
      <c r="C26" s="5"/>
      <c r="D26" s="4"/>
      <c r="E26" s="40"/>
      <c r="F26" s="40"/>
      <c r="G26" s="40"/>
      <c r="H26" s="40"/>
      <c r="I26" s="40"/>
      <c r="J26" s="43"/>
      <c r="K26" s="43"/>
    </row>
    <row r="27" spans="1:12" ht="12.75">
      <c r="A27" s="46" t="s">
        <v>15</v>
      </c>
      <c r="B27" s="47"/>
      <c r="C27" s="3" t="s">
        <v>16</v>
      </c>
      <c r="D27" s="12">
        <v>210951.36</v>
      </c>
      <c r="E27" s="40"/>
      <c r="F27" s="40"/>
      <c r="G27" s="40"/>
      <c r="H27" s="40"/>
      <c r="I27" s="40"/>
      <c r="J27" s="43"/>
      <c r="K27" s="43"/>
      <c r="L27" s="1"/>
    </row>
    <row r="28" spans="1:12" ht="12.75">
      <c r="A28" s="46" t="s">
        <v>17</v>
      </c>
      <c r="B28" s="47"/>
      <c r="C28" s="3" t="s">
        <v>26</v>
      </c>
      <c r="D28" s="12">
        <v>58070.88</v>
      </c>
      <c r="E28" s="40"/>
      <c r="F28" s="40"/>
      <c r="G28" s="40"/>
      <c r="H28" s="40"/>
      <c r="I28" s="40"/>
      <c r="J28" s="43"/>
      <c r="K28" s="43"/>
      <c r="L28" s="1"/>
    </row>
    <row r="29" spans="1:12" ht="12.75">
      <c r="A29" s="46" t="s">
        <v>21</v>
      </c>
      <c r="B29" s="47"/>
      <c r="C29" s="3" t="s">
        <v>169</v>
      </c>
      <c r="D29" s="12">
        <v>29628</v>
      </c>
      <c r="E29" s="40"/>
      <c r="F29" s="40"/>
      <c r="G29" s="40"/>
      <c r="H29" s="40"/>
      <c r="I29" s="40"/>
      <c r="J29" s="43"/>
      <c r="K29" s="43"/>
      <c r="L29" s="1"/>
    </row>
    <row r="30" spans="1:12" ht="12.75">
      <c r="A30" s="55" t="s">
        <v>23</v>
      </c>
      <c r="B30" s="56"/>
      <c r="C30" s="3" t="s">
        <v>170</v>
      </c>
      <c r="D30" s="12">
        <v>34961.04</v>
      </c>
      <c r="E30" s="40"/>
      <c r="F30" s="40"/>
      <c r="G30" s="40"/>
      <c r="H30" s="40"/>
      <c r="I30" s="40"/>
      <c r="J30" s="43"/>
      <c r="K30" s="43"/>
      <c r="L30" s="1"/>
    </row>
    <row r="31" spans="1:12" ht="12.75">
      <c r="A31" s="55" t="s">
        <v>25</v>
      </c>
      <c r="B31" s="56"/>
      <c r="C31" s="3" t="s">
        <v>26</v>
      </c>
      <c r="D31" s="12">
        <v>638972.52</v>
      </c>
      <c r="E31" s="40"/>
      <c r="F31" s="40"/>
      <c r="G31" s="40"/>
      <c r="H31" s="40"/>
      <c r="I31" s="40"/>
      <c r="J31" s="43"/>
      <c r="K31" s="40"/>
      <c r="L31" s="1"/>
    </row>
    <row r="32" spans="1:12" ht="12.75" customHeight="1">
      <c r="A32" s="57" t="s">
        <v>27</v>
      </c>
      <c r="B32" s="58"/>
      <c r="C32" s="48" t="s">
        <v>28</v>
      </c>
      <c r="D32" s="50">
        <v>215691.84</v>
      </c>
      <c r="E32" s="40"/>
      <c r="F32" s="40"/>
      <c r="G32" s="40"/>
      <c r="H32" s="40"/>
      <c r="I32" s="40"/>
      <c r="J32" s="43"/>
      <c r="K32" s="43"/>
      <c r="L32" s="1"/>
    </row>
    <row r="33" spans="1:12" ht="12.75">
      <c r="A33" s="59"/>
      <c r="B33" s="60"/>
      <c r="C33" s="49"/>
      <c r="D33" s="77"/>
      <c r="E33" s="40"/>
      <c r="F33" s="40"/>
      <c r="G33" s="40"/>
      <c r="H33" s="40"/>
      <c r="I33" s="40"/>
      <c r="J33" s="43"/>
      <c r="K33" s="43"/>
      <c r="L33" s="1"/>
    </row>
    <row r="34" spans="1:12" ht="25.5" customHeight="1">
      <c r="A34" s="55" t="s">
        <v>29</v>
      </c>
      <c r="B34" s="56"/>
      <c r="C34" s="3" t="s">
        <v>30</v>
      </c>
      <c r="D34" s="12">
        <v>121178.52</v>
      </c>
      <c r="E34" s="40"/>
      <c r="F34" s="40"/>
      <c r="G34" s="40"/>
      <c r="H34" s="40"/>
      <c r="I34" s="40"/>
      <c r="J34" s="43"/>
      <c r="K34" s="43"/>
      <c r="L34" s="1"/>
    </row>
    <row r="35" spans="1:12" ht="25.5" customHeight="1">
      <c r="A35" s="55" t="s">
        <v>31</v>
      </c>
      <c r="B35" s="56"/>
      <c r="C35" s="3" t="s">
        <v>30</v>
      </c>
      <c r="D35" s="12">
        <v>103698</v>
      </c>
      <c r="E35" s="40"/>
      <c r="F35" s="40"/>
      <c r="G35" s="40"/>
      <c r="H35" s="40"/>
      <c r="I35" s="40"/>
      <c r="J35" s="43"/>
      <c r="K35" s="43"/>
      <c r="L35" s="1"/>
    </row>
    <row r="36" spans="1:12" ht="25.5">
      <c r="A36" s="55" t="s">
        <v>32</v>
      </c>
      <c r="B36" s="56"/>
      <c r="C36" s="3" t="s">
        <v>33</v>
      </c>
      <c r="D36" s="12">
        <v>18073.08</v>
      </c>
      <c r="E36" s="40"/>
      <c r="F36" s="40"/>
      <c r="G36" s="40"/>
      <c r="H36" s="40"/>
      <c r="I36" s="40"/>
      <c r="J36" s="43"/>
      <c r="K36" s="43"/>
      <c r="L36" s="1"/>
    </row>
    <row r="37" spans="1:12" ht="27" customHeight="1">
      <c r="A37" s="55" t="s">
        <v>50</v>
      </c>
      <c r="B37" s="56"/>
      <c r="C37" s="3" t="s">
        <v>171</v>
      </c>
      <c r="D37" s="12">
        <v>43849.44</v>
      </c>
      <c r="E37" s="40"/>
      <c r="F37" s="40"/>
      <c r="G37" s="40"/>
      <c r="H37" s="40"/>
      <c r="I37" s="40"/>
      <c r="J37" s="43"/>
      <c r="K37" s="43"/>
      <c r="L37" s="1"/>
    </row>
    <row r="38" spans="1:12" ht="18.75" customHeight="1">
      <c r="A38" s="55" t="s">
        <v>35</v>
      </c>
      <c r="B38" s="56"/>
      <c r="C38" s="3" t="s">
        <v>36</v>
      </c>
      <c r="D38" s="12">
        <v>61626.24</v>
      </c>
      <c r="E38" s="40"/>
      <c r="F38" s="40"/>
      <c r="G38" s="40"/>
      <c r="H38" s="40"/>
      <c r="I38" s="40"/>
      <c r="J38" s="43"/>
      <c r="K38" s="43"/>
      <c r="L38" s="1"/>
    </row>
    <row r="39" spans="1:12" ht="12.75">
      <c r="A39" s="55" t="s">
        <v>38</v>
      </c>
      <c r="B39" s="56"/>
      <c r="C39" s="3" t="s">
        <v>36</v>
      </c>
      <c r="D39" s="12">
        <v>277021.8</v>
      </c>
      <c r="E39" s="40"/>
      <c r="F39" s="40"/>
      <c r="G39" s="40"/>
      <c r="H39" s="40"/>
      <c r="I39" s="40"/>
      <c r="J39" s="43"/>
      <c r="K39" s="43"/>
      <c r="L39" s="1"/>
    </row>
    <row r="40" spans="1:12" ht="25.5" customHeight="1">
      <c r="A40" s="55" t="s">
        <v>40</v>
      </c>
      <c r="B40" s="56"/>
      <c r="C40" s="3" t="s">
        <v>39</v>
      </c>
      <c r="D40" s="12">
        <v>74958.84</v>
      </c>
      <c r="E40" s="40"/>
      <c r="F40" s="40"/>
      <c r="G40" s="40"/>
      <c r="H40" s="40"/>
      <c r="I40" s="40"/>
      <c r="J40" s="43"/>
      <c r="K40" s="43"/>
      <c r="L40" s="1"/>
    </row>
    <row r="41" spans="1:12" ht="38.25" customHeight="1">
      <c r="A41" s="55" t="s">
        <v>41</v>
      </c>
      <c r="B41" s="56"/>
      <c r="C41" s="3" t="s">
        <v>42</v>
      </c>
      <c r="D41" s="12">
        <v>37923.84</v>
      </c>
      <c r="E41" s="40"/>
      <c r="F41" s="40"/>
      <c r="G41" s="40"/>
      <c r="H41" s="40"/>
      <c r="I41" s="40"/>
      <c r="J41" s="43"/>
      <c r="K41" s="43"/>
      <c r="L41" s="1"/>
    </row>
    <row r="42" spans="1:12" ht="37.5" customHeight="1">
      <c r="A42" s="55" t="s">
        <v>121</v>
      </c>
      <c r="B42" s="56"/>
      <c r="C42" s="3" t="s">
        <v>172</v>
      </c>
      <c r="D42" s="12">
        <v>135399.96</v>
      </c>
      <c r="E42" s="40"/>
      <c r="F42" s="40"/>
      <c r="G42" s="40"/>
      <c r="H42" s="40"/>
      <c r="I42" s="40"/>
      <c r="J42" s="43"/>
      <c r="K42" s="43"/>
      <c r="L42" s="1"/>
    </row>
    <row r="43" spans="1:12" ht="32.25" customHeight="1">
      <c r="A43" s="55" t="s">
        <v>118</v>
      </c>
      <c r="B43" s="56"/>
      <c r="C43" s="3" t="s">
        <v>43</v>
      </c>
      <c r="D43" s="12">
        <v>148140</v>
      </c>
      <c r="E43" s="40"/>
      <c r="F43" s="40"/>
      <c r="G43" s="40"/>
      <c r="H43" s="40"/>
      <c r="I43" s="40"/>
      <c r="J43" s="43"/>
      <c r="K43" s="43"/>
      <c r="L43" s="1"/>
    </row>
    <row r="44" spans="1:12" ht="25.5" customHeight="1">
      <c r="A44" s="55" t="s">
        <v>44</v>
      </c>
      <c r="B44" s="56"/>
      <c r="C44" s="3" t="s">
        <v>166</v>
      </c>
      <c r="D44" s="11"/>
      <c r="E44" s="40"/>
      <c r="F44" s="40"/>
      <c r="G44" s="40"/>
      <c r="H44" s="40"/>
      <c r="I44" s="40"/>
      <c r="J44" s="43"/>
      <c r="K44" s="43"/>
      <c r="L44" s="1"/>
    </row>
    <row r="45" spans="1:12" ht="25.5">
      <c r="A45" s="55" t="s">
        <v>45</v>
      </c>
      <c r="B45" s="56"/>
      <c r="C45" s="3" t="s">
        <v>46</v>
      </c>
      <c r="D45" s="12">
        <v>68736.96</v>
      </c>
      <c r="E45" s="40"/>
      <c r="F45" s="40"/>
      <c r="G45" s="40"/>
      <c r="H45" s="40"/>
      <c r="I45" s="40"/>
      <c r="J45" s="43"/>
      <c r="K45" s="43"/>
      <c r="L45" s="1"/>
    </row>
    <row r="46" spans="1:12" ht="38.25" customHeight="1">
      <c r="A46" s="55" t="s">
        <v>47</v>
      </c>
      <c r="B46" s="56"/>
      <c r="C46" s="3" t="s">
        <v>20</v>
      </c>
      <c r="D46" s="12">
        <v>88884</v>
      </c>
      <c r="E46" s="40"/>
      <c r="F46" s="40"/>
      <c r="G46" s="40"/>
      <c r="H46" s="40"/>
      <c r="I46" s="40"/>
      <c r="J46" s="43"/>
      <c r="K46" s="43"/>
      <c r="L46" s="1"/>
    </row>
    <row r="47" spans="1:12" ht="12.75">
      <c r="A47" s="55" t="s">
        <v>167</v>
      </c>
      <c r="B47" s="56"/>
      <c r="C47" s="3" t="s">
        <v>139</v>
      </c>
      <c r="D47" s="12">
        <v>8888.4</v>
      </c>
      <c r="E47" s="40"/>
      <c r="F47" s="40"/>
      <c r="G47" s="40"/>
      <c r="H47" s="40"/>
      <c r="I47" s="40"/>
      <c r="J47" s="43"/>
      <c r="K47" s="43"/>
      <c r="L47" s="1"/>
    </row>
    <row r="48" spans="1:12" ht="12.75">
      <c r="A48" s="55" t="s">
        <v>168</v>
      </c>
      <c r="B48" s="56"/>
      <c r="C48" s="3" t="s">
        <v>139</v>
      </c>
      <c r="D48" s="12">
        <v>104586.84</v>
      </c>
      <c r="E48" s="40"/>
      <c r="F48" s="40"/>
      <c r="G48" s="40"/>
      <c r="H48" s="40"/>
      <c r="I48" s="40"/>
      <c r="J48" s="43"/>
      <c r="K48" s="43"/>
      <c r="L48" s="1"/>
    </row>
    <row r="49" spans="1:12" ht="36.75" customHeight="1">
      <c r="A49" s="55" t="s">
        <v>122</v>
      </c>
      <c r="B49" s="56"/>
      <c r="C49" s="3" t="s">
        <v>53</v>
      </c>
      <c r="D49" s="12">
        <v>815066.28</v>
      </c>
      <c r="E49" s="40"/>
      <c r="F49" s="40"/>
      <c r="G49" s="40"/>
      <c r="H49" s="40"/>
      <c r="I49" s="40"/>
      <c r="J49" s="43"/>
      <c r="K49" s="43"/>
      <c r="L49" s="1"/>
    </row>
    <row r="50" spans="1:12" ht="25.5" customHeight="1">
      <c r="A50" s="55" t="s">
        <v>51</v>
      </c>
      <c r="B50" s="56"/>
      <c r="C50" s="3" t="s">
        <v>36</v>
      </c>
      <c r="D50" s="12">
        <v>983057.04</v>
      </c>
      <c r="E50" s="40"/>
      <c r="F50" s="40"/>
      <c r="G50" s="40"/>
      <c r="H50" s="40"/>
      <c r="I50" s="40"/>
      <c r="J50" s="43"/>
      <c r="K50" s="43"/>
      <c r="L50" s="1"/>
    </row>
    <row r="51" spans="1:12" ht="12.75">
      <c r="A51" s="55" t="s">
        <v>52</v>
      </c>
      <c r="B51" s="56"/>
      <c r="C51" s="3" t="s">
        <v>54</v>
      </c>
      <c r="D51" s="11"/>
      <c r="E51" s="40"/>
      <c r="F51" s="40"/>
      <c r="G51" s="40"/>
      <c r="H51" s="40"/>
      <c r="I51" s="40"/>
      <c r="J51" s="43"/>
      <c r="K51" s="43"/>
      <c r="L51" s="1"/>
    </row>
    <row r="52" spans="1:12" ht="12.75">
      <c r="A52" s="55" t="s">
        <v>85</v>
      </c>
      <c r="B52" s="56"/>
      <c r="C52" s="3" t="s">
        <v>54</v>
      </c>
      <c r="D52" s="11"/>
      <c r="E52" s="40"/>
      <c r="F52" s="40"/>
      <c r="G52" s="40"/>
      <c r="H52" s="40"/>
      <c r="I52" s="40"/>
      <c r="J52" s="43"/>
      <c r="K52" s="43"/>
      <c r="L52" s="1"/>
    </row>
    <row r="53" spans="1:12" ht="25.5" customHeight="1">
      <c r="A53" s="78" t="s">
        <v>55</v>
      </c>
      <c r="B53" s="79"/>
      <c r="C53" s="3" t="s">
        <v>36</v>
      </c>
      <c r="D53" s="11"/>
      <c r="E53" s="40"/>
      <c r="F53" s="40"/>
      <c r="G53" s="40"/>
      <c r="H53" s="40"/>
      <c r="I53" s="40"/>
      <c r="J53" s="43"/>
      <c r="K53" s="43"/>
      <c r="L53" s="1"/>
    </row>
    <row r="54" spans="1:12" ht="12.75">
      <c r="A54" s="63" t="s">
        <v>56</v>
      </c>
      <c r="B54" s="64"/>
      <c r="C54" s="44"/>
      <c r="D54" s="13">
        <f>SUM(D27:D53)</f>
        <v>4279364.88</v>
      </c>
      <c r="E54" s="40"/>
      <c r="F54" s="41"/>
      <c r="G54" s="41"/>
      <c r="H54" s="40"/>
      <c r="I54" s="41"/>
      <c r="J54" s="42"/>
      <c r="K54" s="40"/>
      <c r="L54" s="1"/>
    </row>
    <row r="55" spans="1:12" ht="12.75">
      <c r="A55" s="1"/>
      <c r="B55" s="1"/>
      <c r="C55" s="1"/>
      <c r="D55" s="1"/>
      <c r="E55" s="40"/>
      <c r="F55" s="40"/>
      <c r="G55" s="40"/>
      <c r="H55" s="40"/>
      <c r="I55" s="40"/>
      <c r="J55" s="43"/>
      <c r="K55" s="43"/>
      <c r="L55" s="1"/>
    </row>
    <row r="56" spans="1:11" ht="12.75">
      <c r="A56" s="1"/>
      <c r="B56" s="1"/>
      <c r="C56" s="1"/>
      <c r="D56" s="1"/>
      <c r="E56" s="40"/>
      <c r="F56" s="40"/>
      <c r="G56" s="40"/>
      <c r="H56" s="40"/>
      <c r="I56" s="40"/>
      <c r="J56" s="43"/>
      <c r="K56" s="43"/>
    </row>
    <row r="57" spans="1:11" ht="12.75">
      <c r="A57" s="1"/>
      <c r="B57" s="1"/>
      <c r="C57" s="1"/>
      <c r="D57" s="39"/>
      <c r="E57" s="40"/>
      <c r="F57" s="40"/>
      <c r="G57" s="40"/>
      <c r="H57" s="40"/>
      <c r="I57" s="40"/>
      <c r="J57" s="43"/>
      <c r="K57" s="43"/>
    </row>
    <row r="58" spans="1:11" ht="12.75">
      <c r="A58" s="1"/>
      <c r="B58" s="1"/>
      <c r="C58" s="1"/>
      <c r="D58" s="1"/>
      <c r="E58" s="40"/>
      <c r="F58" s="40"/>
      <c r="G58" s="40"/>
      <c r="H58" s="40"/>
      <c r="I58" s="40"/>
      <c r="J58" s="43"/>
      <c r="K58" s="43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5" t="s">
        <v>58</v>
      </c>
      <c r="B61" s="5"/>
      <c r="C61" s="5"/>
      <c r="D61" s="5"/>
      <c r="E61" s="1"/>
      <c r="F61" s="1"/>
      <c r="G61" s="1"/>
      <c r="H61" s="1"/>
      <c r="I61" s="1"/>
    </row>
    <row r="62" spans="1:9" ht="12.75">
      <c r="A62" s="5" t="s">
        <v>88</v>
      </c>
      <c r="B62" s="5"/>
      <c r="C62" s="5"/>
      <c r="D62" s="5"/>
      <c r="E62" s="1"/>
      <c r="F62" s="1"/>
      <c r="G62" s="1"/>
      <c r="H62" s="1"/>
      <c r="I62" s="1"/>
    </row>
    <row r="63" spans="1:9" ht="12.75">
      <c r="A63" s="5" t="s">
        <v>59</v>
      </c>
      <c r="B63" s="5"/>
      <c r="C63" s="5"/>
      <c r="D63" s="5"/>
      <c r="E63" s="1"/>
      <c r="F63" s="1"/>
      <c r="G63" s="1"/>
      <c r="H63" s="1"/>
      <c r="I63" s="1"/>
    </row>
    <row r="64" spans="1:9" ht="12.75">
      <c r="A64" s="5" t="s">
        <v>134</v>
      </c>
      <c r="B64" s="5"/>
      <c r="C64" s="5"/>
      <c r="D64" s="5"/>
      <c r="E64" s="1"/>
      <c r="F64" s="1"/>
      <c r="G64" s="1"/>
      <c r="H64" s="1"/>
      <c r="I64" s="1"/>
    </row>
    <row r="65" spans="1:9" ht="12.75">
      <c r="A65" s="5" t="s">
        <v>61</v>
      </c>
      <c r="B65" s="4"/>
      <c r="C65" s="4"/>
      <c r="D65" s="4"/>
      <c r="E65" s="1"/>
      <c r="F65" s="1"/>
      <c r="G65" s="1"/>
      <c r="H65" s="1"/>
      <c r="I65" s="1"/>
    </row>
    <row r="66" spans="1:9" ht="12.75">
      <c r="A66" s="5" t="s">
        <v>62</v>
      </c>
      <c r="B66" s="4"/>
      <c r="C66" s="4"/>
      <c r="D66" s="4"/>
      <c r="E66" s="1"/>
      <c r="F66" s="1"/>
      <c r="G66" s="1"/>
      <c r="H66" s="1"/>
      <c r="I66" s="1"/>
    </row>
    <row r="67" spans="1:9" ht="12.75">
      <c r="A67" s="5" t="s">
        <v>63</v>
      </c>
      <c r="B67" s="4"/>
      <c r="C67" s="4"/>
      <c r="D67" s="4"/>
      <c r="E67" s="1"/>
      <c r="F67" s="1"/>
      <c r="G67" s="1"/>
      <c r="H67" s="1"/>
      <c r="I67" s="1"/>
    </row>
    <row r="68" spans="1:9" ht="12.75">
      <c r="A68" s="4"/>
      <c r="B68" s="4"/>
      <c r="C68" s="4"/>
      <c r="D68" s="4"/>
      <c r="E68" s="1"/>
      <c r="F68" s="1"/>
      <c r="G68" s="1"/>
      <c r="H68" s="1"/>
      <c r="I68" s="1"/>
    </row>
    <row r="69" spans="1:9" ht="12.75">
      <c r="A69" s="5"/>
      <c r="B69" s="4"/>
      <c r="C69" s="4"/>
      <c r="D69" s="4"/>
      <c r="E69" s="1"/>
      <c r="F69" s="1"/>
      <c r="G69" s="1"/>
      <c r="H69" s="1"/>
      <c r="I69" s="1"/>
    </row>
    <row r="70" spans="1:9" ht="12.75">
      <c r="A70" s="5" t="s">
        <v>71</v>
      </c>
      <c r="B70" s="5"/>
      <c r="C70" s="4"/>
      <c r="D70" s="4"/>
      <c r="E70" s="1"/>
      <c r="F70" s="1"/>
      <c r="G70" s="1"/>
      <c r="H70" s="1"/>
      <c r="I70" s="1"/>
    </row>
    <row r="71" spans="1:9" ht="12.75">
      <c r="A71" s="4"/>
      <c r="B71" s="4"/>
      <c r="C71" s="4"/>
      <c r="D71" s="4"/>
      <c r="E71" s="1"/>
      <c r="F71" s="1"/>
      <c r="G71" s="1"/>
      <c r="H71" s="1"/>
      <c r="I71" s="1"/>
    </row>
    <row r="72" spans="1:9" ht="12.75">
      <c r="A72" s="4"/>
      <c r="B72" s="4"/>
      <c r="C72" s="4"/>
      <c r="D72" s="4"/>
      <c r="E72" s="1"/>
      <c r="F72" s="1"/>
      <c r="G72" s="1"/>
      <c r="H72" s="1"/>
      <c r="I72" s="1"/>
    </row>
    <row r="73" spans="1:9" ht="12.75">
      <c r="A73" s="4"/>
      <c r="B73" s="4"/>
      <c r="C73" s="4"/>
      <c r="D73" s="4"/>
      <c r="E73" s="1"/>
      <c r="F73" s="1"/>
      <c r="G73" s="1"/>
      <c r="H73" s="1"/>
      <c r="I73" s="1"/>
    </row>
    <row r="74" spans="1:9" ht="12.75">
      <c r="A74" s="4"/>
      <c r="B74" s="4"/>
      <c r="C74" s="4"/>
      <c r="D74" s="4"/>
      <c r="E74" s="1"/>
      <c r="F74" s="1"/>
      <c r="G74" s="1"/>
      <c r="H74" s="1"/>
      <c r="I74" s="1"/>
    </row>
    <row r="75" spans="1:9" ht="12.75">
      <c r="A75" s="4"/>
      <c r="B75" s="4"/>
      <c r="C75" s="4"/>
      <c r="D75" s="4"/>
      <c r="E75" s="1"/>
      <c r="F75" s="1"/>
      <c r="G75" s="1"/>
      <c r="H75" s="1"/>
      <c r="I75" s="1"/>
    </row>
    <row r="76" spans="1:9" ht="12.75">
      <c r="A76" s="4"/>
      <c r="B76" s="4"/>
      <c r="C76" s="4"/>
      <c r="D76" s="4"/>
      <c r="E76" s="1"/>
      <c r="F76" s="1"/>
      <c r="G76" s="1"/>
      <c r="H76" s="1"/>
      <c r="I76" s="1"/>
    </row>
    <row r="77" spans="1:9" ht="12.75">
      <c r="A77" s="4"/>
      <c r="B77" s="4"/>
      <c r="C77" s="4"/>
      <c r="D77" s="4"/>
      <c r="E77" s="1"/>
      <c r="F77" s="1"/>
      <c r="G77" s="1"/>
      <c r="H77" s="1"/>
      <c r="I77" s="1"/>
    </row>
    <row r="78" spans="1:9" ht="12.75">
      <c r="A78" s="4"/>
      <c r="B78" s="4"/>
      <c r="C78" s="4"/>
      <c r="D78" s="4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</sheetData>
  <mergeCells count="32"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2:B33"/>
    <mergeCell ref="C32:C33"/>
    <mergeCell ref="D32:D33"/>
    <mergeCell ref="A34:B34"/>
    <mergeCell ref="A28:B28"/>
    <mergeCell ref="A29:B29"/>
    <mergeCell ref="A30:B30"/>
    <mergeCell ref="A31:B31"/>
    <mergeCell ref="A20:C20"/>
    <mergeCell ref="A21:C21"/>
    <mergeCell ref="A23:B23"/>
    <mergeCell ref="A27:B27"/>
  </mergeCells>
  <printOptions/>
  <pageMargins left="0.75" right="0.75" top="1" bottom="1" header="0.5" footer="0.5"/>
  <pageSetup horizontalDpi="600" verticalDpi="600" orientation="portrait" paperSize="9" scale="83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5:G111"/>
  <sheetViews>
    <sheetView workbookViewId="0" topLeftCell="A22">
      <selection activeCell="F39" sqref="F39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162</v>
      </c>
    </row>
    <row r="12" ht="12.75">
      <c r="A12" t="s">
        <v>163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1"/>
      <c r="E13" s="1"/>
      <c r="F13" s="1"/>
      <c r="G13" s="1"/>
    </row>
    <row r="14" spans="1:7" ht="12.75">
      <c r="A14" s="3" t="s">
        <v>1</v>
      </c>
      <c r="B14" s="12">
        <f>B18</f>
        <v>1519650</v>
      </c>
      <c r="C14" s="11">
        <v>343848.82</v>
      </c>
      <c r="D14" s="1"/>
      <c r="E14" s="1"/>
      <c r="F14" s="1"/>
      <c r="G14" s="1"/>
    </row>
    <row r="15" spans="1:7" ht="12.75">
      <c r="A15" s="3" t="s">
        <v>2</v>
      </c>
      <c r="B15" s="12">
        <f>B14-B17</f>
        <v>1519650</v>
      </c>
      <c r="C15" s="11">
        <f>C14-C17</f>
        <v>343848.82</v>
      </c>
      <c r="D15" s="1"/>
      <c r="E15" s="1"/>
      <c r="F15" s="1"/>
      <c r="G15" s="1"/>
    </row>
    <row r="16" spans="1:7" ht="12.75">
      <c r="A16" s="3" t="s">
        <v>3</v>
      </c>
      <c r="B16" s="11"/>
      <c r="C16" s="11"/>
      <c r="D16" s="1"/>
      <c r="E16" s="1"/>
      <c r="F16" s="1"/>
      <c r="G16" s="1"/>
    </row>
    <row r="17" spans="1:7" ht="12.75">
      <c r="A17" s="3" t="s">
        <v>4</v>
      </c>
      <c r="B17" s="11"/>
      <c r="C17" s="11">
        <v>0</v>
      </c>
      <c r="D17" s="1"/>
      <c r="E17" s="1"/>
      <c r="F17" s="1"/>
      <c r="G17" s="1"/>
    </row>
    <row r="18" spans="1:7" ht="12.75">
      <c r="A18" s="3" t="s">
        <v>5</v>
      </c>
      <c r="B18" s="12">
        <f>C56</f>
        <v>1519650</v>
      </c>
      <c r="C18" s="1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6.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 t="s">
        <v>10</v>
      </c>
      <c r="B23" s="3" t="s">
        <v>11</v>
      </c>
      <c r="C23" s="3" t="s">
        <v>12</v>
      </c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5" t="s">
        <v>13</v>
      </c>
      <c r="B25" s="5"/>
      <c r="C25" s="4"/>
      <c r="D25" s="1"/>
      <c r="E25" s="1"/>
      <c r="F25" s="1"/>
      <c r="G25" s="1"/>
    </row>
    <row r="26" spans="1:7" ht="12.75">
      <c r="A26" s="5" t="s">
        <v>14</v>
      </c>
      <c r="B26" s="5"/>
      <c r="C26" s="4"/>
      <c r="D26" s="1"/>
      <c r="E26" s="1"/>
      <c r="F26" s="1"/>
      <c r="G26" s="1"/>
    </row>
    <row r="27" spans="1:7" ht="25.5">
      <c r="A27" s="3" t="s">
        <v>15</v>
      </c>
      <c r="B27" s="3" t="s">
        <v>16</v>
      </c>
      <c r="C27" s="12">
        <f>C56*0.06</f>
        <v>91179</v>
      </c>
      <c r="D27" s="1"/>
      <c r="E27" s="1"/>
      <c r="F27" s="1"/>
      <c r="G27" s="1"/>
    </row>
    <row r="28" spans="1:7" ht="12.75">
      <c r="A28" s="3" t="s">
        <v>17</v>
      </c>
      <c r="B28" s="3" t="s">
        <v>18</v>
      </c>
      <c r="C28" s="12">
        <f>C56*0.015</f>
        <v>22794.75</v>
      </c>
      <c r="D28" s="1"/>
      <c r="E28" s="1"/>
      <c r="F28" s="1"/>
      <c r="G28" s="1"/>
    </row>
    <row r="29" spans="1:7" ht="12.75">
      <c r="A29" s="3" t="s">
        <v>19</v>
      </c>
      <c r="B29" s="3" t="s">
        <v>20</v>
      </c>
      <c r="C29" s="12"/>
      <c r="D29" s="1"/>
      <c r="E29" s="1"/>
      <c r="F29" s="1"/>
      <c r="G29" s="1"/>
    </row>
    <row r="30" spans="1:7" ht="12.75">
      <c r="A30" s="3" t="s">
        <v>21</v>
      </c>
      <c r="B30" s="3" t="s">
        <v>22</v>
      </c>
      <c r="C30" s="12">
        <f>C56*0.005</f>
        <v>7598.25</v>
      </c>
      <c r="D30" s="1"/>
      <c r="E30" s="1"/>
      <c r="F30" s="1"/>
      <c r="G30" s="1"/>
    </row>
    <row r="31" spans="1:7" ht="12.75">
      <c r="A31" s="3" t="s">
        <v>23</v>
      </c>
      <c r="B31" s="3" t="s">
        <v>24</v>
      </c>
      <c r="C31" s="12">
        <f>C56*0.01</f>
        <v>15196.5</v>
      </c>
      <c r="D31" s="1"/>
      <c r="E31" s="1"/>
      <c r="F31" s="1"/>
      <c r="G31" s="1"/>
    </row>
    <row r="32" spans="1:7" ht="12.75">
      <c r="A32" s="3" t="s">
        <v>25</v>
      </c>
      <c r="B32" s="3" t="s">
        <v>26</v>
      </c>
      <c r="C32" s="12">
        <f>C56*0.12</f>
        <v>182358</v>
      </c>
      <c r="D32" s="1"/>
      <c r="E32" s="1"/>
      <c r="F32" s="1"/>
      <c r="G32" s="1"/>
    </row>
    <row r="33" spans="1:7" ht="12.75">
      <c r="A33" s="70" t="s">
        <v>27</v>
      </c>
      <c r="B33" s="68" t="s">
        <v>28</v>
      </c>
      <c r="C33" s="50">
        <f>C56*0.0564</f>
        <v>85708.26</v>
      </c>
      <c r="D33" s="1"/>
      <c r="E33" s="1"/>
      <c r="F33" s="1"/>
      <c r="G33" s="1"/>
    </row>
    <row r="34" spans="1:7" ht="12.75">
      <c r="A34" s="71"/>
      <c r="B34" s="69"/>
      <c r="C34" s="77"/>
      <c r="D34" s="1"/>
      <c r="E34" s="1"/>
      <c r="F34" s="1"/>
      <c r="G34" s="1"/>
    </row>
    <row r="35" spans="1:7" ht="25.5">
      <c r="A35" s="3" t="s">
        <v>29</v>
      </c>
      <c r="B35" s="3" t="s">
        <v>30</v>
      </c>
      <c r="C35" s="12">
        <f>C56*0.0285</f>
        <v>43310.025</v>
      </c>
      <c r="D35" s="1"/>
      <c r="E35" s="1"/>
      <c r="F35" s="1"/>
      <c r="G35" s="1"/>
    </row>
    <row r="36" spans="1:7" ht="38.25">
      <c r="A36" s="3" t="s">
        <v>31</v>
      </c>
      <c r="B36" s="3" t="s">
        <v>30</v>
      </c>
      <c r="C36" s="12">
        <f>C56*0.026</f>
        <v>39510.9</v>
      </c>
      <c r="D36" s="1"/>
      <c r="E36" s="1"/>
      <c r="F36" s="1"/>
      <c r="G36" s="1"/>
    </row>
    <row r="37" spans="1:7" ht="25.5">
      <c r="A37" s="3" t="s">
        <v>32</v>
      </c>
      <c r="B37" s="3" t="s">
        <v>33</v>
      </c>
      <c r="C37" s="12">
        <f>C56*0.002</f>
        <v>3039.3</v>
      </c>
      <c r="D37" s="1"/>
      <c r="E37" s="1"/>
      <c r="F37" s="1"/>
      <c r="G37" s="1"/>
    </row>
    <row r="38" spans="1:7" ht="38.25">
      <c r="A38" s="3" t="s">
        <v>50</v>
      </c>
      <c r="B38" s="3" t="s">
        <v>34</v>
      </c>
      <c r="C38" s="12">
        <f>C56*0.009</f>
        <v>13676.849999999999</v>
      </c>
      <c r="D38" s="1"/>
      <c r="E38" s="1"/>
      <c r="F38" s="1"/>
      <c r="G38" s="1"/>
    </row>
    <row r="39" spans="1:7" ht="25.5">
      <c r="A39" s="3" t="s">
        <v>35</v>
      </c>
      <c r="B39" s="3" t="s">
        <v>36</v>
      </c>
      <c r="C39" s="12">
        <f>C56*0.0111</f>
        <v>16868.115</v>
      </c>
      <c r="D39" s="1"/>
      <c r="E39" s="1"/>
      <c r="F39" s="1"/>
      <c r="G39" s="1"/>
    </row>
    <row r="40" spans="1:7" ht="25.5">
      <c r="A40" s="3" t="s">
        <v>37</v>
      </c>
      <c r="B40" s="3" t="s">
        <v>133</v>
      </c>
      <c r="C40" s="12">
        <f>C56*0.004</f>
        <v>6078.6</v>
      </c>
      <c r="D40" s="1"/>
      <c r="E40" s="1"/>
      <c r="F40" s="1"/>
      <c r="G40" s="1"/>
    </row>
    <row r="41" spans="1:7" ht="12.75">
      <c r="A41" s="3" t="s">
        <v>38</v>
      </c>
      <c r="B41" s="3" t="s">
        <v>36</v>
      </c>
      <c r="C41" s="12">
        <f>C56*0.074</f>
        <v>112454.09999999999</v>
      </c>
      <c r="D41" s="1"/>
      <c r="E41" s="1"/>
      <c r="F41" s="1"/>
      <c r="G41" s="1"/>
    </row>
    <row r="42" spans="1:7" ht="25.5">
      <c r="A42" s="3" t="s">
        <v>40</v>
      </c>
      <c r="B42" s="3" t="s">
        <v>39</v>
      </c>
      <c r="C42" s="12">
        <f>C56*0.02</f>
        <v>30393</v>
      </c>
      <c r="D42" s="1"/>
      <c r="E42" s="1"/>
      <c r="F42" s="1"/>
      <c r="G42" s="1"/>
    </row>
    <row r="43" spans="1:7" ht="38.25">
      <c r="A43" s="3" t="s">
        <v>41</v>
      </c>
      <c r="B43" s="3" t="s">
        <v>42</v>
      </c>
      <c r="C43" s="12">
        <f>C56*0.01</f>
        <v>15196.5</v>
      </c>
      <c r="D43" s="1"/>
      <c r="E43" s="1"/>
      <c r="F43" s="1"/>
      <c r="G43" s="1"/>
    </row>
    <row r="44" spans="1:7" ht="25.5">
      <c r="A44" s="33" t="s">
        <v>143</v>
      </c>
      <c r="B44" s="3" t="s">
        <v>26</v>
      </c>
      <c r="C44" s="12">
        <f>C56*0.0236</f>
        <v>35863.74</v>
      </c>
      <c r="D44" s="1"/>
      <c r="E44" s="1"/>
      <c r="F44" s="1"/>
      <c r="G44" s="1"/>
    </row>
    <row r="45" spans="1:7" ht="25.5">
      <c r="A45" s="33" t="s">
        <v>118</v>
      </c>
      <c r="B45" s="3" t="s">
        <v>43</v>
      </c>
      <c r="C45" s="12">
        <f>C56*0.05</f>
        <v>75982.5</v>
      </c>
      <c r="D45" s="1"/>
      <c r="E45" s="1"/>
      <c r="F45" s="1"/>
      <c r="G45" s="1"/>
    </row>
    <row r="46" spans="1:7" ht="25.5">
      <c r="A46" s="3" t="s">
        <v>44</v>
      </c>
      <c r="B46" s="3" t="s">
        <v>135</v>
      </c>
      <c r="C46" s="11"/>
      <c r="D46" s="1"/>
      <c r="E46" s="1"/>
      <c r="F46" s="1"/>
      <c r="G46" s="1"/>
    </row>
    <row r="47" spans="1:7" ht="25.5">
      <c r="A47" s="3" t="s">
        <v>45</v>
      </c>
      <c r="B47" s="3" t="s">
        <v>46</v>
      </c>
      <c r="C47" s="12">
        <f>C56*0.043</f>
        <v>65344.95</v>
      </c>
      <c r="D47" s="1"/>
      <c r="E47" s="1"/>
      <c r="F47" s="1"/>
      <c r="G47" s="1"/>
    </row>
    <row r="48" spans="1:7" ht="38.25">
      <c r="A48" s="3" t="s">
        <v>47</v>
      </c>
      <c r="B48" s="3" t="s">
        <v>20</v>
      </c>
      <c r="C48" s="12">
        <f>C56*0.03</f>
        <v>45589.5</v>
      </c>
      <c r="D48" s="1"/>
      <c r="E48" s="1"/>
      <c r="F48" s="1"/>
      <c r="G48" s="1"/>
    </row>
    <row r="49" spans="1:7" ht="25.5">
      <c r="A49" s="3" t="s">
        <v>48</v>
      </c>
      <c r="B49" s="3" t="s">
        <v>42</v>
      </c>
      <c r="C49" s="12">
        <f>C56*0.003</f>
        <v>4558.95</v>
      </c>
      <c r="D49" s="1"/>
      <c r="E49" s="1"/>
      <c r="F49" s="1"/>
      <c r="G49" s="1"/>
    </row>
    <row r="50" spans="1:7" ht="25.5">
      <c r="A50" s="3" t="s">
        <v>49</v>
      </c>
      <c r="B50" s="3" t="s">
        <v>139</v>
      </c>
      <c r="C50" s="12">
        <f>C56*0.002</f>
        <v>3039.3</v>
      </c>
      <c r="D50" s="1"/>
      <c r="E50" s="1"/>
      <c r="F50" s="1"/>
      <c r="G50" s="1"/>
    </row>
    <row r="51" spans="1:7" ht="38.25">
      <c r="A51" s="31" t="s">
        <v>122</v>
      </c>
      <c r="B51" s="3" t="s">
        <v>53</v>
      </c>
      <c r="C51" s="12">
        <f>C56*0.198</f>
        <v>300890.7</v>
      </c>
      <c r="D51" s="1"/>
      <c r="E51" s="1"/>
      <c r="F51" s="1"/>
      <c r="G51" s="1"/>
    </row>
    <row r="52" spans="1:7" ht="25.5">
      <c r="A52" s="3" t="s">
        <v>51</v>
      </c>
      <c r="B52" s="3" t="s">
        <v>36</v>
      </c>
      <c r="C52" s="12">
        <f>C56*0.1994</f>
        <v>303018.20999999996</v>
      </c>
      <c r="D52" s="1"/>
      <c r="E52" s="1"/>
      <c r="F52" s="1"/>
      <c r="G52" s="1"/>
    </row>
    <row r="53" spans="1:7" ht="12.75">
      <c r="A53" s="3" t="s">
        <v>52</v>
      </c>
      <c r="B53" s="3" t="s">
        <v>54</v>
      </c>
      <c r="C53" s="11"/>
      <c r="D53" s="1"/>
      <c r="E53" s="1"/>
      <c r="F53" s="1"/>
      <c r="G53" s="1"/>
    </row>
    <row r="54" spans="1:7" ht="12.75">
      <c r="A54" s="3" t="s">
        <v>85</v>
      </c>
      <c r="B54" s="3" t="s">
        <v>54</v>
      </c>
      <c r="C54" s="11"/>
      <c r="D54" s="1"/>
      <c r="E54" s="1"/>
      <c r="F54" s="1"/>
      <c r="G54" s="1"/>
    </row>
    <row r="55" spans="1:7" ht="25.5">
      <c r="A55" s="3" t="s">
        <v>55</v>
      </c>
      <c r="B55" s="3" t="s">
        <v>36</v>
      </c>
      <c r="C55" s="11"/>
      <c r="D55" s="1"/>
      <c r="E55" s="1"/>
      <c r="F55" s="1"/>
      <c r="G55" s="1"/>
    </row>
    <row r="56" spans="1:7" ht="12.75">
      <c r="A56" s="10" t="s">
        <v>56</v>
      </c>
      <c r="B56" s="10"/>
      <c r="C56" s="13">
        <v>1519650</v>
      </c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5" t="s">
        <v>58</v>
      </c>
      <c r="B63" s="5"/>
      <c r="C63" s="5"/>
      <c r="D63" s="1"/>
      <c r="E63" s="1"/>
      <c r="F63" s="1"/>
      <c r="G63" s="1"/>
    </row>
    <row r="64" spans="1:7" ht="12.75">
      <c r="A64" s="5" t="s">
        <v>88</v>
      </c>
      <c r="B64" s="5"/>
      <c r="C64" s="5"/>
      <c r="D64" s="1"/>
      <c r="E64" s="1"/>
      <c r="F64" s="1"/>
      <c r="G64" s="1"/>
    </row>
    <row r="65" spans="1:7" ht="12.75">
      <c r="A65" s="5" t="s">
        <v>59</v>
      </c>
      <c r="B65" s="5"/>
      <c r="C65" s="5"/>
      <c r="D65" s="1"/>
      <c r="E65" s="1"/>
      <c r="F65" s="1"/>
      <c r="G65" s="1"/>
    </row>
    <row r="66" spans="1:7" ht="12.75">
      <c r="A66" s="5" t="s">
        <v>134</v>
      </c>
      <c r="B66" s="5"/>
      <c r="C66" s="5"/>
      <c r="D66" s="1"/>
      <c r="E66" s="1"/>
      <c r="F66" s="1"/>
      <c r="G66" s="1"/>
    </row>
    <row r="67" spans="1:7" ht="12.75">
      <c r="A67" s="5" t="s">
        <v>61</v>
      </c>
      <c r="B67" s="4"/>
      <c r="C67" s="4"/>
      <c r="D67" s="1"/>
      <c r="E67" s="1"/>
      <c r="F67" s="1"/>
      <c r="G67" s="1"/>
    </row>
    <row r="68" spans="1:7" ht="12.75">
      <c r="A68" s="5" t="s">
        <v>62</v>
      </c>
      <c r="B68" s="4"/>
      <c r="C68" s="4"/>
      <c r="D68" s="1"/>
      <c r="E68" s="1"/>
      <c r="F68" s="1"/>
      <c r="G68" s="1"/>
    </row>
    <row r="69" spans="1:7" ht="12.75">
      <c r="A69" s="5" t="s">
        <v>63</v>
      </c>
      <c r="B69" s="4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5"/>
      <c r="B71" s="4"/>
      <c r="C71" s="4"/>
      <c r="D71" s="1"/>
      <c r="E71" s="1"/>
      <c r="F71" s="1"/>
      <c r="G71" s="1"/>
    </row>
    <row r="72" spans="1:7" ht="12.75">
      <c r="A72" s="5" t="s">
        <v>71</v>
      </c>
      <c r="B72" s="5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4"/>
      <c r="B77" s="4"/>
      <c r="C77" s="4"/>
      <c r="D77" s="1"/>
      <c r="E77" s="1"/>
      <c r="F77" s="1"/>
      <c r="G77" s="1"/>
    </row>
    <row r="78" spans="1:7" ht="12.75">
      <c r="A78" s="4"/>
      <c r="B78" s="4"/>
      <c r="C78" s="4"/>
      <c r="D78" s="1"/>
      <c r="E78" s="1"/>
      <c r="F78" s="1"/>
      <c r="G78" s="1"/>
    </row>
    <row r="79" spans="1:7" ht="12.75">
      <c r="A79" s="4"/>
      <c r="B79" s="4"/>
      <c r="C79" s="4"/>
      <c r="D79" s="1"/>
      <c r="E79" s="1"/>
      <c r="F79" s="1"/>
      <c r="G79" s="1"/>
    </row>
    <row r="80" spans="1:7" ht="12.75">
      <c r="A80" s="4"/>
      <c r="B80" s="4"/>
      <c r="C80" s="4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</sheetData>
  <mergeCells count="5">
    <mergeCell ref="A20:C20"/>
    <mergeCell ref="A21:C21"/>
    <mergeCell ref="A33:A34"/>
    <mergeCell ref="B33:B34"/>
    <mergeCell ref="C33:C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G111"/>
  <sheetViews>
    <sheetView workbookViewId="0" topLeftCell="A22">
      <selection activeCell="C27" sqref="C27:C43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160</v>
      </c>
    </row>
    <row r="12" ht="12.75">
      <c r="A12" t="s">
        <v>161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1"/>
      <c r="E13" s="1"/>
      <c r="F13" s="1"/>
      <c r="G13" s="1"/>
    </row>
    <row r="14" spans="1:7" ht="12.75">
      <c r="A14" s="3" t="s">
        <v>1</v>
      </c>
      <c r="B14" s="12">
        <f>B18</f>
        <v>1515392</v>
      </c>
      <c r="C14" s="11">
        <v>281046.63</v>
      </c>
      <c r="D14" s="1"/>
      <c r="E14" s="1"/>
      <c r="F14" s="1"/>
      <c r="G14" s="1"/>
    </row>
    <row r="15" spans="1:7" ht="12.75">
      <c r="A15" s="3" t="s">
        <v>2</v>
      </c>
      <c r="B15" s="12">
        <f>B14-B17</f>
        <v>1515392</v>
      </c>
      <c r="C15" s="11">
        <f>C14-C17</f>
        <v>281046.63</v>
      </c>
      <c r="D15" s="1"/>
      <c r="E15" s="1"/>
      <c r="F15" s="1"/>
      <c r="G15" s="1"/>
    </row>
    <row r="16" spans="1:7" ht="12.75">
      <c r="A16" s="3" t="s">
        <v>3</v>
      </c>
      <c r="B16" s="11"/>
      <c r="C16" s="11"/>
      <c r="D16" s="1"/>
      <c r="E16" s="1"/>
      <c r="F16" s="1"/>
      <c r="G16" s="1"/>
    </row>
    <row r="17" spans="1:7" ht="12.75">
      <c r="A17" s="3" t="s">
        <v>4</v>
      </c>
      <c r="B17" s="11"/>
      <c r="C17" s="11">
        <v>0</v>
      </c>
      <c r="D17" s="1"/>
      <c r="E17" s="1"/>
      <c r="F17" s="1"/>
      <c r="G17" s="1"/>
    </row>
    <row r="18" spans="1:7" ht="12.75">
      <c r="A18" s="3" t="s">
        <v>5</v>
      </c>
      <c r="B18" s="12">
        <f>C56</f>
        <v>1515392</v>
      </c>
      <c r="C18" s="11"/>
      <c r="D18" s="1"/>
      <c r="E18" s="1"/>
      <c r="F18" s="1"/>
      <c r="G18" s="1"/>
    </row>
    <row r="19" spans="1:7" ht="12.75">
      <c r="A19" s="1"/>
      <c r="B19" s="14"/>
      <c r="C19" s="14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6.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 t="s">
        <v>10</v>
      </c>
      <c r="B23" s="3" t="s">
        <v>11</v>
      </c>
      <c r="C23" s="3" t="s">
        <v>12</v>
      </c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5" t="s">
        <v>13</v>
      </c>
      <c r="B25" s="5"/>
      <c r="C25" s="4"/>
      <c r="D25" s="1"/>
      <c r="E25" s="1"/>
      <c r="F25" s="1"/>
      <c r="G25" s="1"/>
    </row>
    <row r="26" spans="1:7" ht="12.75">
      <c r="A26" s="5" t="s">
        <v>14</v>
      </c>
      <c r="B26" s="5"/>
      <c r="C26" s="4"/>
      <c r="D26" s="1"/>
      <c r="E26" s="1"/>
      <c r="F26" s="1"/>
      <c r="G26" s="1"/>
    </row>
    <row r="27" spans="1:7" ht="25.5">
      <c r="A27" s="3" t="s">
        <v>15</v>
      </c>
      <c r="B27" s="3" t="s">
        <v>16</v>
      </c>
      <c r="C27" s="12">
        <f>C56*0.06</f>
        <v>90923.51999999999</v>
      </c>
      <c r="D27" s="1"/>
      <c r="E27" s="1"/>
      <c r="F27" s="1"/>
      <c r="G27" s="1"/>
    </row>
    <row r="28" spans="1:7" ht="12.75">
      <c r="A28" s="3" t="s">
        <v>17</v>
      </c>
      <c r="B28" s="3" t="s">
        <v>18</v>
      </c>
      <c r="C28" s="12">
        <f>C56*0.015</f>
        <v>22730.879999999997</v>
      </c>
      <c r="D28" s="1"/>
      <c r="E28" s="1"/>
      <c r="F28" s="1"/>
      <c r="G28" s="1"/>
    </row>
    <row r="29" spans="1:7" ht="12.75">
      <c r="A29" s="3" t="s">
        <v>19</v>
      </c>
      <c r="B29" s="3" t="s">
        <v>20</v>
      </c>
      <c r="C29" s="12"/>
      <c r="D29" s="1"/>
      <c r="E29" s="1"/>
      <c r="F29" s="1"/>
      <c r="G29" s="1"/>
    </row>
    <row r="30" spans="1:7" ht="12.75">
      <c r="A30" s="3" t="s">
        <v>21</v>
      </c>
      <c r="B30" s="3" t="s">
        <v>22</v>
      </c>
      <c r="C30" s="12">
        <f>C56*0.005</f>
        <v>7576.96</v>
      </c>
      <c r="D30" s="1"/>
      <c r="E30" s="1"/>
      <c r="F30" s="1"/>
      <c r="G30" s="1"/>
    </row>
    <row r="31" spans="1:7" ht="12.75">
      <c r="A31" s="3" t="s">
        <v>23</v>
      </c>
      <c r="B31" s="3" t="s">
        <v>24</v>
      </c>
      <c r="C31" s="12">
        <f>C56*0.01</f>
        <v>15153.92</v>
      </c>
      <c r="D31" s="1"/>
      <c r="E31" s="1"/>
      <c r="F31" s="1"/>
      <c r="G31" s="1"/>
    </row>
    <row r="32" spans="1:7" ht="12.75">
      <c r="A32" s="3" t="s">
        <v>25</v>
      </c>
      <c r="B32" s="3" t="s">
        <v>26</v>
      </c>
      <c r="C32" s="12">
        <f>C56*0.12</f>
        <v>181847.03999999998</v>
      </c>
      <c r="D32" s="1"/>
      <c r="E32" s="1"/>
      <c r="F32" s="1"/>
      <c r="G32" s="1"/>
    </row>
    <row r="33" spans="1:7" ht="12.75">
      <c r="A33" s="70" t="s">
        <v>27</v>
      </c>
      <c r="B33" s="68" t="s">
        <v>28</v>
      </c>
      <c r="C33" s="50">
        <f>C56*0.0564</f>
        <v>85468.1088</v>
      </c>
      <c r="D33" s="1"/>
      <c r="E33" s="1"/>
      <c r="F33" s="1"/>
      <c r="G33" s="1"/>
    </row>
    <row r="34" spans="1:7" ht="12.75">
      <c r="A34" s="71"/>
      <c r="B34" s="69"/>
      <c r="C34" s="77"/>
      <c r="D34" s="1"/>
      <c r="E34" s="1"/>
      <c r="F34" s="1"/>
      <c r="G34" s="1"/>
    </row>
    <row r="35" spans="1:7" ht="25.5">
      <c r="A35" s="3" t="s">
        <v>29</v>
      </c>
      <c r="B35" s="3" t="s">
        <v>30</v>
      </c>
      <c r="C35" s="12">
        <f>C56*0.0285</f>
        <v>43188.672</v>
      </c>
      <c r="D35" s="1"/>
      <c r="E35" s="1"/>
      <c r="F35" s="1"/>
      <c r="G35" s="1"/>
    </row>
    <row r="36" spans="1:7" ht="38.25">
      <c r="A36" s="3" t="s">
        <v>31</v>
      </c>
      <c r="B36" s="3" t="s">
        <v>30</v>
      </c>
      <c r="C36" s="12">
        <f>C56*0.026</f>
        <v>39400.191999999995</v>
      </c>
      <c r="D36" s="1"/>
      <c r="E36" s="1"/>
      <c r="F36" s="1"/>
      <c r="G36" s="1"/>
    </row>
    <row r="37" spans="1:7" ht="25.5">
      <c r="A37" s="3" t="s">
        <v>32</v>
      </c>
      <c r="B37" s="3" t="s">
        <v>33</v>
      </c>
      <c r="C37" s="12">
        <f>C56*0.002</f>
        <v>3030.784</v>
      </c>
      <c r="D37" s="1"/>
      <c r="E37" s="1"/>
      <c r="F37" s="1"/>
      <c r="G37" s="1"/>
    </row>
    <row r="38" spans="1:7" ht="38.25">
      <c r="A38" s="3" t="s">
        <v>50</v>
      </c>
      <c r="B38" s="3" t="s">
        <v>34</v>
      </c>
      <c r="C38" s="12">
        <f>C56*0.009</f>
        <v>13638.527999999998</v>
      </c>
      <c r="D38" s="1"/>
      <c r="E38" s="1"/>
      <c r="F38" s="1"/>
      <c r="G38" s="1"/>
    </row>
    <row r="39" spans="1:7" ht="25.5">
      <c r="A39" s="3" t="s">
        <v>35</v>
      </c>
      <c r="B39" s="3" t="s">
        <v>36</v>
      </c>
      <c r="C39" s="12">
        <f>C56*0.0111</f>
        <v>16820.8512</v>
      </c>
      <c r="D39" s="1"/>
      <c r="E39" s="1"/>
      <c r="F39" s="1"/>
      <c r="G39" s="1"/>
    </row>
    <row r="40" spans="1:7" ht="25.5">
      <c r="A40" s="3" t="s">
        <v>37</v>
      </c>
      <c r="B40" s="3" t="s">
        <v>133</v>
      </c>
      <c r="C40" s="12">
        <f>C56*0.004</f>
        <v>6061.568</v>
      </c>
      <c r="D40" s="1"/>
      <c r="E40" s="1"/>
      <c r="F40" s="1"/>
      <c r="G40" s="1"/>
    </row>
    <row r="41" spans="1:7" ht="12.75">
      <c r="A41" s="3" t="s">
        <v>38</v>
      </c>
      <c r="B41" s="3" t="s">
        <v>36</v>
      </c>
      <c r="C41" s="12">
        <f>C56*0.074</f>
        <v>112139.008</v>
      </c>
      <c r="D41" s="1"/>
      <c r="E41" s="1"/>
      <c r="F41" s="1"/>
      <c r="G41" s="1"/>
    </row>
    <row r="42" spans="1:7" ht="25.5">
      <c r="A42" s="3" t="s">
        <v>40</v>
      </c>
      <c r="B42" s="3" t="s">
        <v>39</v>
      </c>
      <c r="C42" s="12">
        <f>C56*0.02</f>
        <v>30307.84</v>
      </c>
      <c r="D42" s="1"/>
      <c r="E42" s="1"/>
      <c r="F42" s="1"/>
      <c r="G42" s="1"/>
    </row>
    <row r="43" spans="1:7" ht="38.25">
      <c r="A43" s="3" t="s">
        <v>41</v>
      </c>
      <c r="B43" s="3" t="s">
        <v>42</v>
      </c>
      <c r="C43" s="12">
        <f>C56*0.01</f>
        <v>15153.92</v>
      </c>
      <c r="D43" s="1"/>
      <c r="E43" s="1"/>
      <c r="F43" s="1"/>
      <c r="G43" s="1"/>
    </row>
    <row r="44" spans="1:7" ht="25.5">
      <c r="A44" s="33" t="s">
        <v>143</v>
      </c>
      <c r="B44" s="3" t="s">
        <v>26</v>
      </c>
      <c r="C44" s="12">
        <f>C56*0.0236</f>
        <v>35763.2512</v>
      </c>
      <c r="D44" s="1"/>
      <c r="E44" s="1"/>
      <c r="F44" s="1"/>
      <c r="G44" s="1"/>
    </row>
    <row r="45" spans="1:7" ht="25.5">
      <c r="A45" s="33" t="s">
        <v>118</v>
      </c>
      <c r="B45" s="3" t="s">
        <v>43</v>
      </c>
      <c r="C45" s="12">
        <f>C56*0.05</f>
        <v>75769.6</v>
      </c>
      <c r="D45" s="1"/>
      <c r="E45" s="1"/>
      <c r="F45" s="1"/>
      <c r="G45" s="1"/>
    </row>
    <row r="46" spans="1:7" ht="25.5">
      <c r="A46" s="3" t="s">
        <v>44</v>
      </c>
      <c r="B46" s="3" t="s">
        <v>135</v>
      </c>
      <c r="C46" s="11"/>
      <c r="D46" s="1"/>
      <c r="E46" s="1"/>
      <c r="F46" s="1"/>
      <c r="G46" s="1"/>
    </row>
    <row r="47" spans="1:7" ht="25.5">
      <c r="A47" s="3" t="s">
        <v>45</v>
      </c>
      <c r="B47" s="3" t="s">
        <v>46</v>
      </c>
      <c r="C47" s="12">
        <f>C56*0.043</f>
        <v>65161.85599999999</v>
      </c>
      <c r="D47" s="1"/>
      <c r="E47" s="1"/>
      <c r="F47" s="1"/>
      <c r="G47" s="1"/>
    </row>
    <row r="48" spans="1:7" ht="38.25">
      <c r="A48" s="3" t="s">
        <v>47</v>
      </c>
      <c r="B48" s="3" t="s">
        <v>20</v>
      </c>
      <c r="C48" s="12">
        <f>C56*0.03</f>
        <v>45461.759999999995</v>
      </c>
      <c r="D48" s="1"/>
      <c r="E48" s="1"/>
      <c r="F48" s="1"/>
      <c r="G48" s="1"/>
    </row>
    <row r="49" spans="1:7" ht="25.5">
      <c r="A49" s="3" t="s">
        <v>48</v>
      </c>
      <c r="B49" s="3" t="s">
        <v>42</v>
      </c>
      <c r="C49" s="12">
        <f>C56*0.003</f>
        <v>4546.176</v>
      </c>
      <c r="D49" s="1"/>
      <c r="E49" s="1"/>
      <c r="F49" s="1"/>
      <c r="G49" s="1"/>
    </row>
    <row r="50" spans="1:7" ht="25.5">
      <c r="A50" s="3" t="s">
        <v>49</v>
      </c>
      <c r="B50" s="3" t="s">
        <v>139</v>
      </c>
      <c r="C50" s="12">
        <f>C56*0.002</f>
        <v>3030.784</v>
      </c>
      <c r="D50" s="1"/>
      <c r="E50" s="1"/>
      <c r="F50" s="1"/>
      <c r="G50" s="1"/>
    </row>
    <row r="51" spans="1:7" ht="38.25">
      <c r="A51" s="31" t="s">
        <v>122</v>
      </c>
      <c r="B51" s="3" t="s">
        <v>53</v>
      </c>
      <c r="C51" s="12">
        <f>C56*0.198</f>
        <v>300047.61600000004</v>
      </c>
      <c r="D51" s="1"/>
      <c r="E51" s="1"/>
      <c r="F51" s="1"/>
      <c r="G51" s="1"/>
    </row>
    <row r="52" spans="1:7" ht="25.5">
      <c r="A52" s="3" t="s">
        <v>51</v>
      </c>
      <c r="B52" s="3" t="s">
        <v>36</v>
      </c>
      <c r="C52" s="12">
        <f>C56*0.1994</f>
        <v>302169.16479999997</v>
      </c>
      <c r="D52" s="1"/>
      <c r="E52" s="1"/>
      <c r="F52" s="1"/>
      <c r="G52" s="1"/>
    </row>
    <row r="53" spans="1:7" ht="12.75">
      <c r="A53" s="3" t="s">
        <v>52</v>
      </c>
      <c r="B53" s="3" t="s">
        <v>54</v>
      </c>
      <c r="C53" s="11"/>
      <c r="D53" s="1"/>
      <c r="E53" s="1"/>
      <c r="F53" s="1"/>
      <c r="G53" s="1"/>
    </row>
    <row r="54" spans="1:7" ht="12.75">
      <c r="A54" s="3" t="s">
        <v>85</v>
      </c>
      <c r="B54" s="3" t="s">
        <v>54</v>
      </c>
      <c r="C54" s="11"/>
      <c r="D54" s="1"/>
      <c r="E54" s="1"/>
      <c r="F54" s="1"/>
      <c r="G54" s="1"/>
    </row>
    <row r="55" spans="1:7" ht="25.5">
      <c r="A55" s="3" t="s">
        <v>55</v>
      </c>
      <c r="B55" s="3" t="s">
        <v>36</v>
      </c>
      <c r="C55" s="11"/>
      <c r="D55" s="1"/>
      <c r="E55" s="1"/>
      <c r="F55" s="1"/>
      <c r="G55" s="1"/>
    </row>
    <row r="56" spans="1:7" ht="12.75">
      <c r="A56" s="10" t="s">
        <v>56</v>
      </c>
      <c r="B56" s="10"/>
      <c r="C56" s="13">
        <v>1515392</v>
      </c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5" t="s">
        <v>58</v>
      </c>
      <c r="B63" s="5"/>
      <c r="C63" s="5"/>
      <c r="D63" s="1"/>
      <c r="E63" s="1"/>
      <c r="F63" s="1"/>
      <c r="G63" s="1"/>
    </row>
    <row r="64" spans="1:7" ht="12.75">
      <c r="A64" s="5" t="s">
        <v>88</v>
      </c>
      <c r="B64" s="5"/>
      <c r="C64" s="5"/>
      <c r="D64" s="1"/>
      <c r="E64" s="1"/>
      <c r="F64" s="1"/>
      <c r="G64" s="1"/>
    </row>
    <row r="65" spans="1:7" ht="12.75">
      <c r="A65" s="5" t="s">
        <v>59</v>
      </c>
      <c r="B65" s="5"/>
      <c r="C65" s="5"/>
      <c r="D65" s="1"/>
      <c r="E65" s="1"/>
      <c r="F65" s="1"/>
      <c r="G65" s="1"/>
    </row>
    <row r="66" spans="1:7" ht="12.75">
      <c r="A66" s="5" t="s">
        <v>134</v>
      </c>
      <c r="B66" s="5"/>
      <c r="C66" s="5"/>
      <c r="D66" s="1"/>
      <c r="E66" s="1"/>
      <c r="F66" s="1"/>
      <c r="G66" s="1"/>
    </row>
    <row r="67" spans="1:7" ht="12.75">
      <c r="A67" s="5" t="s">
        <v>61</v>
      </c>
      <c r="B67" s="4"/>
      <c r="C67" s="4"/>
      <c r="D67" s="1"/>
      <c r="E67" s="1"/>
      <c r="F67" s="1"/>
      <c r="G67" s="1"/>
    </row>
    <row r="68" spans="1:7" ht="12.75">
      <c r="A68" s="5" t="s">
        <v>62</v>
      </c>
      <c r="B68" s="4"/>
      <c r="C68" s="4"/>
      <c r="D68" s="1"/>
      <c r="E68" s="1"/>
      <c r="F68" s="1"/>
      <c r="G68" s="1"/>
    </row>
    <row r="69" spans="1:7" ht="12.75">
      <c r="A69" s="5" t="s">
        <v>63</v>
      </c>
      <c r="B69" s="4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5"/>
      <c r="B71" s="4"/>
      <c r="C71" s="4"/>
      <c r="D71" s="1"/>
      <c r="E71" s="1"/>
      <c r="F71" s="1"/>
      <c r="G71" s="1"/>
    </row>
    <row r="72" spans="1:7" ht="12.75">
      <c r="A72" s="5" t="s">
        <v>71</v>
      </c>
      <c r="B72" s="5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4"/>
      <c r="B77" s="4"/>
      <c r="C77" s="4"/>
      <c r="D77" s="1"/>
      <c r="E77" s="1"/>
      <c r="F77" s="1"/>
      <c r="G77" s="1"/>
    </row>
    <row r="78" spans="1:7" ht="12.75">
      <c r="A78" s="4"/>
      <c r="B78" s="4"/>
      <c r="C78" s="4"/>
      <c r="D78" s="1"/>
      <c r="E78" s="1"/>
      <c r="F78" s="1"/>
      <c r="G78" s="1"/>
    </row>
    <row r="79" spans="1:7" ht="12.75">
      <c r="A79" s="4"/>
      <c r="B79" s="4"/>
      <c r="C79" s="4"/>
      <c r="D79" s="1"/>
      <c r="E79" s="1"/>
      <c r="F79" s="1"/>
      <c r="G79" s="1"/>
    </row>
    <row r="80" spans="1:7" ht="12.75">
      <c r="A80" s="4"/>
      <c r="B80" s="4"/>
      <c r="C80" s="4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</sheetData>
  <mergeCells count="5">
    <mergeCell ref="A20:C20"/>
    <mergeCell ref="A21:C21"/>
    <mergeCell ref="A33:A34"/>
    <mergeCell ref="B33:B34"/>
    <mergeCell ref="C33:C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G107"/>
  <sheetViews>
    <sheetView tabSelected="1" workbookViewId="0" topLeftCell="A22">
      <selection activeCell="F38" sqref="F38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157</v>
      </c>
    </row>
    <row r="12" ht="12.75">
      <c r="A12" t="s">
        <v>158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1"/>
      <c r="E13" s="1"/>
      <c r="F13" s="1"/>
      <c r="G13" s="1"/>
    </row>
    <row r="14" spans="1:7" ht="12.75">
      <c r="A14" s="3" t="s">
        <v>1</v>
      </c>
      <c r="B14" s="11">
        <f>B18</f>
        <v>1120047.46</v>
      </c>
      <c r="C14" s="11">
        <v>111166.11</v>
      </c>
      <c r="D14" s="1"/>
      <c r="E14" s="1"/>
      <c r="F14" s="1"/>
      <c r="G14" s="1"/>
    </row>
    <row r="15" spans="1:7" ht="12.75">
      <c r="A15" s="3" t="s">
        <v>2</v>
      </c>
      <c r="B15" s="11">
        <f>B14-B17</f>
        <v>1120047.46</v>
      </c>
      <c r="C15" s="11">
        <f>C14-C17</f>
        <v>111166.11</v>
      </c>
      <c r="D15" s="1"/>
      <c r="E15" s="1"/>
      <c r="F15" s="1"/>
      <c r="G15" s="1"/>
    </row>
    <row r="16" spans="1:7" ht="12.75">
      <c r="A16" s="3" t="s">
        <v>3</v>
      </c>
      <c r="B16" s="11"/>
      <c r="C16" s="11"/>
      <c r="D16" s="1"/>
      <c r="E16" s="1"/>
      <c r="F16" s="1"/>
      <c r="G16" s="1"/>
    </row>
    <row r="17" spans="1:7" ht="12.75">
      <c r="A17" s="3" t="s">
        <v>4</v>
      </c>
      <c r="B17" s="11">
        <v>0</v>
      </c>
      <c r="C17" s="11">
        <v>0</v>
      </c>
      <c r="D17" s="1"/>
      <c r="E17" s="1"/>
      <c r="F17" s="1"/>
      <c r="G17" s="1"/>
    </row>
    <row r="18" spans="1:7" ht="12.75">
      <c r="A18" s="3" t="s">
        <v>5</v>
      </c>
      <c r="B18" s="11">
        <f>C52</f>
        <v>1120047.46</v>
      </c>
      <c r="C18" s="1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6.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 t="s">
        <v>10</v>
      </c>
      <c r="B23" s="3" t="s">
        <v>11</v>
      </c>
      <c r="C23" s="3" t="s">
        <v>12</v>
      </c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5" t="s">
        <v>13</v>
      </c>
      <c r="B25" s="5"/>
      <c r="C25" s="4"/>
      <c r="D25" s="1"/>
      <c r="E25" s="1"/>
      <c r="F25" s="1"/>
      <c r="G25" s="1"/>
    </row>
    <row r="26" spans="1:7" ht="12.75">
      <c r="A26" s="5" t="s">
        <v>14</v>
      </c>
      <c r="B26" s="5"/>
      <c r="C26" s="4"/>
      <c r="D26" s="1"/>
      <c r="E26" s="15"/>
      <c r="F26" s="15"/>
      <c r="G26" s="15"/>
    </row>
    <row r="27" spans="1:7" ht="25.5">
      <c r="A27" s="3" t="s">
        <v>15</v>
      </c>
      <c r="B27" s="3" t="s">
        <v>16</v>
      </c>
      <c r="C27" s="12">
        <f>C52*0.06</f>
        <v>67202.8476</v>
      </c>
      <c r="D27" s="1"/>
      <c r="E27" s="15"/>
      <c r="F27" s="15"/>
      <c r="G27" s="15"/>
    </row>
    <row r="28" spans="1:7" ht="12.75">
      <c r="A28" s="3" t="s">
        <v>17</v>
      </c>
      <c r="B28" s="3" t="s">
        <v>18</v>
      </c>
      <c r="C28" s="12">
        <f>C52*0.015</f>
        <v>16800.7119</v>
      </c>
      <c r="D28" s="1"/>
      <c r="E28" s="15"/>
      <c r="F28" s="15"/>
      <c r="G28" s="15"/>
    </row>
    <row r="29" spans="1:7" ht="12.75">
      <c r="A29" s="3" t="s">
        <v>19</v>
      </c>
      <c r="B29" s="3" t="s">
        <v>20</v>
      </c>
      <c r="C29" s="12"/>
      <c r="D29" s="1"/>
      <c r="E29" s="15"/>
      <c r="F29" s="15"/>
      <c r="G29" s="15"/>
    </row>
    <row r="30" spans="1:7" ht="12.75">
      <c r="A30" s="3" t="s">
        <v>21</v>
      </c>
      <c r="B30" s="3" t="s">
        <v>22</v>
      </c>
      <c r="C30" s="12">
        <f>C52*0.005</f>
        <v>5600.2373</v>
      </c>
      <c r="D30" s="1"/>
      <c r="E30" s="15"/>
      <c r="F30" s="15"/>
      <c r="G30" s="15"/>
    </row>
    <row r="31" spans="1:7" ht="12.75">
      <c r="A31" s="3" t="s">
        <v>23</v>
      </c>
      <c r="B31" s="3" t="s">
        <v>24</v>
      </c>
      <c r="C31" s="12">
        <f>C52*0.01</f>
        <v>11200.4746</v>
      </c>
      <c r="D31" s="1"/>
      <c r="E31" s="15"/>
      <c r="F31" s="15"/>
      <c r="G31" s="15"/>
    </row>
    <row r="32" spans="1:7" ht="12.75">
      <c r="A32" s="3" t="s">
        <v>25</v>
      </c>
      <c r="B32" s="3" t="s">
        <v>26</v>
      </c>
      <c r="C32" s="12">
        <f>C52*0.12</f>
        <v>134405.6952</v>
      </c>
      <c r="D32" s="1"/>
      <c r="E32" s="15"/>
      <c r="F32" s="15"/>
      <c r="G32" s="15"/>
    </row>
    <row r="33" spans="1:7" ht="25.5">
      <c r="A33" s="3" t="s">
        <v>27</v>
      </c>
      <c r="B33" s="3" t="s">
        <v>28</v>
      </c>
      <c r="C33" s="12">
        <f>C52*0.0864</f>
        <v>96772.100544</v>
      </c>
      <c r="D33" s="1"/>
      <c r="E33" s="15"/>
      <c r="F33" s="15"/>
      <c r="G33" s="15"/>
    </row>
    <row r="34" spans="1:7" ht="25.5">
      <c r="A34" s="3" t="s">
        <v>29</v>
      </c>
      <c r="B34" s="3" t="s">
        <v>30</v>
      </c>
      <c r="C34" s="12">
        <f>C52*0.0285</f>
        <v>31921.35261</v>
      </c>
      <c r="D34" s="1"/>
      <c r="E34" s="15"/>
      <c r="F34" s="15"/>
      <c r="G34" s="15"/>
    </row>
    <row r="35" spans="1:7" ht="38.25">
      <c r="A35" s="3" t="s">
        <v>31</v>
      </c>
      <c r="B35" s="3" t="s">
        <v>30</v>
      </c>
      <c r="C35" s="12">
        <f>C52*0.026</f>
        <v>29121.233959999998</v>
      </c>
      <c r="D35" s="1"/>
      <c r="E35" s="15"/>
      <c r="F35" s="15"/>
      <c r="G35" s="15"/>
    </row>
    <row r="36" spans="1:7" ht="25.5">
      <c r="A36" s="3" t="s">
        <v>32</v>
      </c>
      <c r="B36" s="3" t="s">
        <v>33</v>
      </c>
      <c r="C36" s="12">
        <f>C52*0.002</f>
        <v>2240.09492</v>
      </c>
      <c r="D36" s="1"/>
      <c r="E36" s="15"/>
      <c r="F36" s="15"/>
      <c r="G36" s="15"/>
    </row>
    <row r="37" spans="1:7" ht="38.25">
      <c r="A37" s="3" t="s">
        <v>50</v>
      </c>
      <c r="B37" s="3" t="s">
        <v>34</v>
      </c>
      <c r="C37" s="12">
        <f>C52*0.009</f>
        <v>10080.42714</v>
      </c>
      <c r="D37" s="1"/>
      <c r="E37" s="15"/>
      <c r="F37" s="15"/>
      <c r="G37" s="15"/>
    </row>
    <row r="38" spans="1:7" ht="25.5">
      <c r="A38" s="3" t="s">
        <v>35</v>
      </c>
      <c r="B38" s="3" t="s">
        <v>36</v>
      </c>
      <c r="C38" s="12">
        <f>C52*0.0111</f>
        <v>12432.526806</v>
      </c>
      <c r="D38" s="1"/>
      <c r="E38" s="15"/>
      <c r="F38" s="15"/>
      <c r="G38" s="15"/>
    </row>
    <row r="39" spans="1:7" ht="25.5">
      <c r="A39" s="3" t="s">
        <v>37</v>
      </c>
      <c r="B39" s="3" t="s">
        <v>133</v>
      </c>
      <c r="C39" s="12">
        <f>C52*0.004</f>
        <v>4480.18984</v>
      </c>
      <c r="D39" s="1"/>
      <c r="E39" s="15"/>
      <c r="F39" s="15"/>
      <c r="G39" s="15"/>
    </row>
    <row r="40" spans="1:7" ht="12.75">
      <c r="A40" s="3" t="s">
        <v>38</v>
      </c>
      <c r="B40" s="3" t="s">
        <v>36</v>
      </c>
      <c r="C40" s="12">
        <f>C52*0.074</f>
        <v>82883.51203999999</v>
      </c>
      <c r="D40" s="1"/>
      <c r="E40" s="15"/>
      <c r="F40" s="15"/>
      <c r="G40" s="15"/>
    </row>
    <row r="41" spans="1:7" ht="25.5">
      <c r="A41" s="33" t="s">
        <v>143</v>
      </c>
      <c r="B41" s="3" t="s">
        <v>26</v>
      </c>
      <c r="C41" s="12">
        <f>C52*0.0236</f>
        <v>26433.120056</v>
      </c>
      <c r="D41" s="1"/>
      <c r="E41" s="15"/>
      <c r="F41" s="15"/>
      <c r="G41" s="15"/>
    </row>
    <row r="42" spans="1:7" ht="25.5">
      <c r="A42" s="33" t="s">
        <v>118</v>
      </c>
      <c r="B42" s="3" t="s">
        <v>43</v>
      </c>
      <c r="C42" s="12">
        <f>C52*0.05</f>
        <v>56002.373</v>
      </c>
      <c r="D42" s="1"/>
      <c r="E42" s="15"/>
      <c r="F42" s="15"/>
      <c r="G42" s="15"/>
    </row>
    <row r="43" spans="1:7" ht="25.5">
      <c r="A43" s="3" t="s">
        <v>44</v>
      </c>
      <c r="B43" s="3" t="s">
        <v>159</v>
      </c>
      <c r="C43" s="11"/>
      <c r="D43" s="1"/>
      <c r="E43" s="15"/>
      <c r="F43" s="15"/>
      <c r="G43" s="15"/>
    </row>
    <row r="44" spans="1:7" ht="25.5">
      <c r="A44" s="3" t="s">
        <v>45</v>
      </c>
      <c r="B44" s="3" t="s">
        <v>46</v>
      </c>
      <c r="C44" s="12">
        <f>C52*0.043</f>
        <v>48162.040779999996</v>
      </c>
      <c r="D44" s="1"/>
      <c r="E44" s="15"/>
      <c r="F44" s="15"/>
      <c r="G44" s="15"/>
    </row>
    <row r="45" spans="1:7" ht="38.25">
      <c r="A45" s="3" t="s">
        <v>47</v>
      </c>
      <c r="B45" s="3" t="s">
        <v>20</v>
      </c>
      <c r="C45" s="12">
        <f>C52*0.033</f>
        <v>36961.56618</v>
      </c>
      <c r="D45" s="1"/>
      <c r="E45" s="15"/>
      <c r="F45" s="15"/>
      <c r="G45" s="15"/>
    </row>
    <row r="46" spans="1:7" ht="25.5">
      <c r="A46" s="3" t="s">
        <v>49</v>
      </c>
      <c r="B46" s="3" t="s">
        <v>139</v>
      </c>
      <c r="C46" s="12">
        <f>C52*0.002</f>
        <v>2240.09492</v>
      </c>
      <c r="D46" s="1"/>
      <c r="E46" s="15"/>
      <c r="F46" s="15"/>
      <c r="G46" s="15"/>
    </row>
    <row r="47" spans="1:7" ht="38.25">
      <c r="A47" s="31" t="s">
        <v>122</v>
      </c>
      <c r="B47" s="3" t="s">
        <v>53</v>
      </c>
      <c r="C47" s="12">
        <f>C52*0.198</f>
        <v>221769.39708</v>
      </c>
      <c r="D47" s="1"/>
      <c r="E47" s="15"/>
      <c r="F47" s="15"/>
      <c r="G47" s="15"/>
    </row>
    <row r="48" spans="1:7" ht="25.5">
      <c r="A48" s="3" t="s">
        <v>51</v>
      </c>
      <c r="B48" s="3" t="s">
        <v>36</v>
      </c>
      <c r="C48" s="12">
        <f>C52*0.1994</f>
        <v>223337.463524</v>
      </c>
      <c r="D48" s="1"/>
      <c r="E48" s="15"/>
      <c r="F48" s="15"/>
      <c r="G48" s="15"/>
    </row>
    <row r="49" spans="1:7" ht="12.75">
      <c r="A49" s="3" t="s">
        <v>52</v>
      </c>
      <c r="B49" s="3" t="s">
        <v>54</v>
      </c>
      <c r="C49" s="11"/>
      <c r="D49" s="1"/>
      <c r="E49" s="15"/>
      <c r="F49" s="15"/>
      <c r="G49" s="15"/>
    </row>
    <row r="50" spans="1:7" ht="12.75">
      <c r="A50" s="3" t="s">
        <v>85</v>
      </c>
      <c r="B50" s="3" t="s">
        <v>54</v>
      </c>
      <c r="C50" s="11"/>
      <c r="D50" s="1"/>
      <c r="E50" s="15"/>
      <c r="F50" s="15"/>
      <c r="G50" s="15"/>
    </row>
    <row r="51" spans="1:7" ht="25.5">
      <c r="A51" s="3" t="s">
        <v>55</v>
      </c>
      <c r="B51" s="3" t="s">
        <v>36</v>
      </c>
      <c r="C51" s="11"/>
      <c r="D51" s="1"/>
      <c r="E51" s="15"/>
      <c r="F51" s="15"/>
      <c r="G51" s="15"/>
    </row>
    <row r="52" spans="1:7" ht="12.75">
      <c r="A52" s="10" t="s">
        <v>56</v>
      </c>
      <c r="B52" s="10"/>
      <c r="C52" s="37">
        <v>1120047.46</v>
      </c>
      <c r="D52" s="1"/>
      <c r="E52" s="15"/>
      <c r="F52" s="38"/>
      <c r="G52" s="15"/>
    </row>
    <row r="53" spans="1:7" ht="12.75">
      <c r="A53" s="1"/>
      <c r="B53" s="1"/>
      <c r="C53" s="1"/>
      <c r="D53" s="1"/>
      <c r="E53" s="15"/>
      <c r="F53" s="15"/>
      <c r="G53" s="15"/>
    </row>
    <row r="54" spans="1:7" ht="12.75">
      <c r="A54" s="1"/>
      <c r="B54" s="1"/>
      <c r="C54" s="1"/>
      <c r="D54" s="1"/>
      <c r="E54" s="15"/>
      <c r="F54" s="15"/>
      <c r="G54" s="15"/>
    </row>
    <row r="55" spans="1:7" ht="12.75">
      <c r="A55" s="1"/>
      <c r="B55" s="1"/>
      <c r="C55" s="1"/>
      <c r="D55" s="1"/>
      <c r="E55" s="15"/>
      <c r="F55" s="15"/>
      <c r="G55" s="15"/>
    </row>
    <row r="56" spans="1:7" ht="12.75">
      <c r="A56" s="1"/>
      <c r="B56" s="1"/>
      <c r="C56" s="1"/>
      <c r="D56" s="1"/>
      <c r="E56" s="15"/>
      <c r="F56" s="15"/>
      <c r="G56" s="15"/>
    </row>
    <row r="57" spans="1:7" ht="12.75">
      <c r="A57" s="1"/>
      <c r="B57" s="1"/>
      <c r="C57" s="1"/>
      <c r="D57" s="1"/>
      <c r="E57" s="15"/>
      <c r="F57" s="15"/>
      <c r="G57" s="15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5" t="s">
        <v>58</v>
      </c>
      <c r="B59" s="5"/>
      <c r="C59" s="5"/>
      <c r="D59" s="1"/>
      <c r="E59" s="1"/>
      <c r="F59" s="1"/>
      <c r="G59" s="1"/>
    </row>
    <row r="60" spans="1:7" ht="12.75">
      <c r="A60" s="5" t="s">
        <v>88</v>
      </c>
      <c r="B60" s="5"/>
      <c r="C60" s="5"/>
      <c r="D60" s="1"/>
      <c r="E60" s="1"/>
      <c r="F60" s="1"/>
      <c r="G60" s="1"/>
    </row>
    <row r="61" spans="1:7" ht="12.75">
      <c r="A61" s="5" t="s">
        <v>59</v>
      </c>
      <c r="B61" s="5"/>
      <c r="C61" s="5"/>
      <c r="D61" s="1"/>
      <c r="E61" s="1"/>
      <c r="F61" s="1"/>
      <c r="G61" s="1"/>
    </row>
    <row r="62" spans="1:7" ht="12.75">
      <c r="A62" s="5" t="s">
        <v>134</v>
      </c>
      <c r="B62" s="5"/>
      <c r="C62" s="5"/>
      <c r="D62" s="1"/>
      <c r="E62" s="1"/>
      <c r="F62" s="1"/>
      <c r="G62" s="1"/>
    </row>
    <row r="63" spans="1:7" ht="12.75">
      <c r="A63" s="5" t="s">
        <v>61</v>
      </c>
      <c r="B63" s="4"/>
      <c r="C63" s="4"/>
      <c r="D63" s="1"/>
      <c r="E63" s="1"/>
      <c r="F63" s="1"/>
      <c r="G63" s="1"/>
    </row>
    <row r="64" spans="1:7" ht="12.75">
      <c r="A64" s="5" t="s">
        <v>62</v>
      </c>
      <c r="B64" s="4"/>
      <c r="C64" s="4"/>
      <c r="D64" s="1"/>
      <c r="E64" s="1"/>
      <c r="F64" s="1"/>
      <c r="G64" s="1"/>
    </row>
    <row r="65" spans="1:7" ht="12.75">
      <c r="A65" s="5" t="s">
        <v>63</v>
      </c>
      <c r="B65" s="4"/>
      <c r="C65" s="4"/>
      <c r="D65" s="1"/>
      <c r="E65" s="1"/>
      <c r="F65" s="1"/>
      <c r="G65" s="1"/>
    </row>
    <row r="66" spans="1:7" ht="12.75">
      <c r="A66" s="4"/>
      <c r="B66" s="4"/>
      <c r="C66" s="4"/>
      <c r="D66" s="1"/>
      <c r="E66" s="1"/>
      <c r="F66" s="1"/>
      <c r="G66" s="1"/>
    </row>
    <row r="67" spans="1:7" ht="12.75">
      <c r="A67" s="5"/>
      <c r="B67" s="4"/>
      <c r="C67" s="4"/>
      <c r="D67" s="1"/>
      <c r="E67" s="1"/>
      <c r="F67" s="1"/>
      <c r="G67" s="1"/>
    </row>
    <row r="68" spans="1:7" ht="12.75">
      <c r="A68" s="4"/>
      <c r="B68" s="4"/>
      <c r="C68" s="4"/>
      <c r="D68" s="1"/>
      <c r="E68" s="1"/>
      <c r="F68" s="1"/>
      <c r="G68" s="1"/>
    </row>
    <row r="69" spans="1:7" ht="12.75">
      <c r="A69" s="5" t="s">
        <v>71</v>
      </c>
      <c r="B69" s="5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4"/>
      <c r="B71" s="4"/>
      <c r="C71" s="4"/>
      <c r="D71" s="1"/>
      <c r="E71" s="1"/>
      <c r="F71" s="1"/>
      <c r="G71" s="1"/>
    </row>
    <row r="72" spans="1:7" ht="12.75">
      <c r="A72" s="4"/>
      <c r="B72" s="4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</sheetData>
  <mergeCells count="2">
    <mergeCell ref="A20:C20"/>
    <mergeCell ref="A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G107"/>
  <sheetViews>
    <sheetView workbookViewId="0" topLeftCell="A25">
      <selection activeCell="D27" sqref="D27:D40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  <col min="4" max="4" width="13.851562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155</v>
      </c>
    </row>
    <row r="12" ht="12.75">
      <c r="A12" t="s">
        <v>156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7" t="s">
        <v>125</v>
      </c>
      <c r="E13" s="1"/>
      <c r="F13" s="1"/>
      <c r="G13" s="1"/>
    </row>
    <row r="14" spans="1:7" ht="12.75">
      <c r="A14" s="3" t="s">
        <v>1</v>
      </c>
      <c r="B14" s="11">
        <v>1127207.4</v>
      </c>
      <c r="C14" s="11">
        <v>93904.02</v>
      </c>
      <c r="D14" s="11">
        <v>11300.5</v>
      </c>
      <c r="E14" s="1"/>
      <c r="F14" s="1"/>
      <c r="G14" s="1"/>
    </row>
    <row r="15" spans="1:7" ht="12.75">
      <c r="A15" s="3" t="s">
        <v>2</v>
      </c>
      <c r="B15" s="11">
        <f>B14</f>
        <v>1127207.4</v>
      </c>
      <c r="C15" s="11">
        <f>C14-C17</f>
        <v>93904.02</v>
      </c>
      <c r="D15" s="11">
        <v>5650.25</v>
      </c>
      <c r="E15" s="1"/>
      <c r="F15" s="1"/>
      <c r="G15" s="1"/>
    </row>
    <row r="16" spans="1:7" ht="12.75">
      <c r="A16" s="3" t="s">
        <v>3</v>
      </c>
      <c r="B16" s="11"/>
      <c r="C16" s="11"/>
      <c r="D16" s="11"/>
      <c r="E16" s="1"/>
      <c r="F16" s="1"/>
      <c r="G16" s="1"/>
    </row>
    <row r="17" spans="1:7" ht="12.75">
      <c r="A17" s="3" t="s">
        <v>4</v>
      </c>
      <c r="B17" s="11">
        <v>0</v>
      </c>
      <c r="C17" s="11">
        <v>0</v>
      </c>
      <c r="D17" s="11">
        <v>5650.25</v>
      </c>
      <c r="E17" s="1"/>
      <c r="F17" s="1"/>
      <c r="G17" s="1"/>
    </row>
    <row r="18" spans="1:7" ht="12.75">
      <c r="A18" s="3" t="s">
        <v>5</v>
      </c>
      <c r="B18" s="11">
        <f>D52</f>
        <v>1127207.4</v>
      </c>
      <c r="C18" s="11"/>
      <c r="D18" s="1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6.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 t="s">
        <v>10</v>
      </c>
      <c r="B23" s="3"/>
      <c r="C23" s="3" t="s">
        <v>11</v>
      </c>
      <c r="D23" s="3" t="s">
        <v>12</v>
      </c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5" t="s">
        <v>13</v>
      </c>
      <c r="B25" s="5"/>
      <c r="C25" s="5"/>
      <c r="D25" s="4"/>
      <c r="E25" s="1"/>
      <c r="F25" s="1"/>
      <c r="G25" s="1"/>
    </row>
    <row r="26" spans="1:7" ht="12.75">
      <c r="A26" s="5" t="s">
        <v>14</v>
      </c>
      <c r="B26" s="5"/>
      <c r="C26" s="5"/>
      <c r="D26" s="4"/>
      <c r="E26" s="15"/>
      <c r="F26" s="15"/>
      <c r="G26" s="15"/>
    </row>
    <row r="27" spans="1:7" ht="25.5" customHeight="1">
      <c r="A27" s="55" t="s">
        <v>15</v>
      </c>
      <c r="B27" s="56"/>
      <c r="C27" s="3" t="s">
        <v>16</v>
      </c>
      <c r="D27" s="12">
        <f>D52*0.06</f>
        <v>67632.44399999999</v>
      </c>
      <c r="E27" s="15"/>
      <c r="F27" s="15"/>
      <c r="G27" s="15"/>
    </row>
    <row r="28" spans="1:7" ht="12.75">
      <c r="A28" s="55" t="s">
        <v>17</v>
      </c>
      <c r="B28" s="56"/>
      <c r="C28" s="3" t="s">
        <v>18</v>
      </c>
      <c r="D28" s="12">
        <f>D52*0.015</f>
        <v>16908.110999999997</v>
      </c>
      <c r="E28" s="15"/>
      <c r="F28" s="15"/>
      <c r="G28" s="15"/>
    </row>
    <row r="29" spans="1:7" ht="12.75">
      <c r="A29" s="46" t="s">
        <v>19</v>
      </c>
      <c r="B29" s="47"/>
      <c r="C29" s="3" t="s">
        <v>20</v>
      </c>
      <c r="D29" s="12"/>
      <c r="E29" s="15"/>
      <c r="F29" s="15"/>
      <c r="G29" s="15"/>
    </row>
    <row r="30" spans="1:7" ht="12.75">
      <c r="A30" s="55" t="s">
        <v>21</v>
      </c>
      <c r="B30" s="56"/>
      <c r="C30" s="3" t="s">
        <v>22</v>
      </c>
      <c r="D30" s="12">
        <f>D52*0.005</f>
        <v>5636.036999999999</v>
      </c>
      <c r="E30" s="15"/>
      <c r="F30" s="15"/>
      <c r="G30" s="15"/>
    </row>
    <row r="31" spans="1:7" ht="12.75">
      <c r="A31" s="55" t="s">
        <v>23</v>
      </c>
      <c r="B31" s="56"/>
      <c r="C31" s="3" t="s">
        <v>24</v>
      </c>
      <c r="D31" s="12">
        <f>D52*0.01</f>
        <v>11272.073999999999</v>
      </c>
      <c r="E31" s="15"/>
      <c r="F31" s="15"/>
      <c r="G31" s="15"/>
    </row>
    <row r="32" spans="1:7" ht="12.75">
      <c r="A32" s="55" t="s">
        <v>25</v>
      </c>
      <c r="B32" s="56"/>
      <c r="C32" s="3" t="s">
        <v>26</v>
      </c>
      <c r="D32" s="12">
        <f>D52*0.12</f>
        <v>135264.88799999998</v>
      </c>
      <c r="E32" s="15"/>
      <c r="F32" s="15"/>
      <c r="G32" s="15"/>
    </row>
    <row r="33" spans="1:7" ht="25.5" customHeight="1">
      <c r="A33" s="55" t="s">
        <v>27</v>
      </c>
      <c r="B33" s="56"/>
      <c r="C33" s="3" t="s">
        <v>28</v>
      </c>
      <c r="D33" s="12">
        <f>D52*0.0864</f>
        <v>97390.71936</v>
      </c>
      <c r="E33" s="15"/>
      <c r="F33" s="15"/>
      <c r="G33" s="15"/>
    </row>
    <row r="34" spans="1:7" ht="25.5">
      <c r="A34" s="55" t="s">
        <v>29</v>
      </c>
      <c r="B34" s="56"/>
      <c r="C34" s="3" t="s">
        <v>30</v>
      </c>
      <c r="D34" s="12">
        <f>D52*0.0285</f>
        <v>32125.4109</v>
      </c>
      <c r="E34" s="15"/>
      <c r="F34" s="15"/>
      <c r="G34" s="15"/>
    </row>
    <row r="35" spans="1:7" ht="38.25" customHeight="1">
      <c r="A35" s="55" t="s">
        <v>31</v>
      </c>
      <c r="B35" s="56"/>
      <c r="C35" s="3" t="s">
        <v>30</v>
      </c>
      <c r="D35" s="12">
        <f>D52*0.026</f>
        <v>29307.392399999997</v>
      </c>
      <c r="E35" s="15"/>
      <c r="F35" s="15"/>
      <c r="G35" s="15"/>
    </row>
    <row r="36" spans="1:7" ht="25.5">
      <c r="A36" s="55" t="s">
        <v>32</v>
      </c>
      <c r="B36" s="56"/>
      <c r="C36" s="3" t="s">
        <v>33</v>
      </c>
      <c r="D36" s="12">
        <f>D52*0.002</f>
        <v>2254.4148</v>
      </c>
      <c r="E36" s="15"/>
      <c r="F36" s="15"/>
      <c r="G36" s="15"/>
    </row>
    <row r="37" spans="1:7" ht="38.25" customHeight="1">
      <c r="A37" s="55" t="s">
        <v>50</v>
      </c>
      <c r="B37" s="56"/>
      <c r="C37" s="3" t="s">
        <v>34</v>
      </c>
      <c r="D37" s="12">
        <f>D52*0.009</f>
        <v>10144.866599999998</v>
      </c>
      <c r="E37" s="15"/>
      <c r="F37" s="15"/>
      <c r="G37" s="15"/>
    </row>
    <row r="38" spans="1:7" ht="25.5" customHeight="1">
      <c r="A38" s="55" t="s">
        <v>35</v>
      </c>
      <c r="B38" s="56"/>
      <c r="C38" s="3" t="s">
        <v>36</v>
      </c>
      <c r="D38" s="12">
        <f>D52*0.0111</f>
        <v>12512.002139999999</v>
      </c>
      <c r="E38" s="15"/>
      <c r="F38" s="15"/>
      <c r="G38" s="15"/>
    </row>
    <row r="39" spans="1:7" ht="25.5" customHeight="1">
      <c r="A39" s="55" t="s">
        <v>37</v>
      </c>
      <c r="B39" s="56"/>
      <c r="C39" s="3" t="s">
        <v>133</v>
      </c>
      <c r="D39" s="12">
        <f>D52*0.004</f>
        <v>4508.8296</v>
      </c>
      <c r="E39" s="15"/>
      <c r="F39" s="15"/>
      <c r="G39" s="15"/>
    </row>
    <row r="40" spans="1:7" ht="12.75">
      <c r="A40" s="55" t="s">
        <v>38</v>
      </c>
      <c r="B40" s="56"/>
      <c r="C40" s="3" t="s">
        <v>36</v>
      </c>
      <c r="D40" s="12">
        <f>D52*0.074</f>
        <v>83413.3476</v>
      </c>
      <c r="E40" s="15"/>
      <c r="F40" s="15"/>
      <c r="G40" s="15"/>
    </row>
    <row r="41" spans="1:7" ht="25.5" customHeight="1">
      <c r="A41" s="55" t="s">
        <v>143</v>
      </c>
      <c r="B41" s="56"/>
      <c r="C41" s="3" t="s">
        <v>26</v>
      </c>
      <c r="D41" s="12">
        <f>D52*0.0236</f>
        <v>26602.094639999996</v>
      </c>
      <c r="E41" s="15"/>
      <c r="F41" s="15"/>
      <c r="G41" s="15"/>
    </row>
    <row r="42" spans="1:7" ht="25.5" customHeight="1">
      <c r="A42" s="55" t="s">
        <v>118</v>
      </c>
      <c r="B42" s="56"/>
      <c r="C42" s="3" t="s">
        <v>43</v>
      </c>
      <c r="D42" s="12">
        <f>D52*0.05</f>
        <v>56360.369999999995</v>
      </c>
      <c r="E42" s="15"/>
      <c r="F42" s="15"/>
      <c r="G42" s="15"/>
    </row>
    <row r="43" spans="1:7" ht="25.5" customHeight="1">
      <c r="A43" s="53" t="s">
        <v>44</v>
      </c>
      <c r="B43" s="54"/>
      <c r="C43" s="3" t="s">
        <v>135</v>
      </c>
      <c r="D43" s="11"/>
      <c r="E43" s="15"/>
      <c r="F43" s="15"/>
      <c r="G43" s="15"/>
    </row>
    <row r="44" spans="1:7" ht="25.5">
      <c r="A44" s="55" t="s">
        <v>45</v>
      </c>
      <c r="B44" s="56"/>
      <c r="C44" s="3" t="s">
        <v>46</v>
      </c>
      <c r="D44" s="12">
        <f>D52*0.043</f>
        <v>48469.91819999999</v>
      </c>
      <c r="E44" s="15"/>
      <c r="F44" s="15"/>
      <c r="G44" s="15"/>
    </row>
    <row r="45" spans="1:7" ht="38.25" customHeight="1">
      <c r="A45" s="55" t="s">
        <v>47</v>
      </c>
      <c r="B45" s="56"/>
      <c r="C45" s="3" t="s">
        <v>20</v>
      </c>
      <c r="D45" s="12">
        <f>D52*0.033</f>
        <v>37197.8442</v>
      </c>
      <c r="E45" s="15"/>
      <c r="F45" s="15"/>
      <c r="G45" s="15"/>
    </row>
    <row r="46" spans="1:7" ht="25.5" customHeight="1">
      <c r="A46" s="55" t="s">
        <v>49</v>
      </c>
      <c r="B46" s="56"/>
      <c r="C46" s="3" t="s">
        <v>139</v>
      </c>
      <c r="D46" s="12">
        <f>D52*0.002</f>
        <v>2254.4148</v>
      </c>
      <c r="E46" s="15"/>
      <c r="F46" s="15"/>
      <c r="G46" s="15"/>
    </row>
    <row r="47" spans="1:7" ht="38.25" customHeight="1">
      <c r="A47" s="55" t="s">
        <v>122</v>
      </c>
      <c r="B47" s="56"/>
      <c r="C47" s="3" t="s">
        <v>53</v>
      </c>
      <c r="D47" s="12">
        <f>D52*0.198</f>
        <v>223187.06519999998</v>
      </c>
      <c r="E47" s="15"/>
      <c r="F47" s="15"/>
      <c r="G47" s="15"/>
    </row>
    <row r="48" spans="1:7" ht="25.5" customHeight="1">
      <c r="A48" s="55" t="s">
        <v>51</v>
      </c>
      <c r="B48" s="56"/>
      <c r="C48" s="3" t="s">
        <v>36</v>
      </c>
      <c r="D48" s="12">
        <f>D52*0.1994</f>
        <v>224765.15555999998</v>
      </c>
      <c r="E48" s="15"/>
      <c r="F48" s="15"/>
      <c r="G48" s="15"/>
    </row>
    <row r="49" spans="1:7" ht="12.75">
      <c r="A49" s="55" t="s">
        <v>52</v>
      </c>
      <c r="B49" s="56"/>
      <c r="C49" s="3" t="s">
        <v>54</v>
      </c>
      <c r="D49" s="11"/>
      <c r="E49" s="15"/>
      <c r="F49" s="15"/>
      <c r="G49" s="15"/>
    </row>
    <row r="50" spans="1:7" ht="12.75">
      <c r="A50" s="55" t="s">
        <v>85</v>
      </c>
      <c r="B50" s="56"/>
      <c r="C50" s="3" t="s">
        <v>54</v>
      </c>
      <c r="D50" s="11"/>
      <c r="E50" s="15"/>
      <c r="F50" s="15"/>
      <c r="G50" s="15"/>
    </row>
    <row r="51" spans="1:7" ht="18" customHeight="1">
      <c r="A51" s="55" t="s">
        <v>55</v>
      </c>
      <c r="B51" s="56"/>
      <c r="C51" s="3" t="s">
        <v>36</v>
      </c>
      <c r="D51" s="11"/>
      <c r="E51" s="15"/>
      <c r="F51" s="15"/>
      <c r="G51" s="15"/>
    </row>
    <row r="52" spans="1:7" ht="12.75">
      <c r="A52" s="10" t="s">
        <v>56</v>
      </c>
      <c r="B52" s="10"/>
      <c r="C52" s="10"/>
      <c r="D52" s="37">
        <v>1127207.4</v>
      </c>
      <c r="E52" s="15"/>
      <c r="F52" s="38"/>
      <c r="G52" s="15"/>
    </row>
    <row r="53" spans="1:7" ht="12.75">
      <c r="A53" s="1"/>
      <c r="B53" s="1"/>
      <c r="C53" s="1"/>
      <c r="D53" s="1"/>
      <c r="E53" s="15"/>
      <c r="F53" s="15"/>
      <c r="G53" s="15"/>
    </row>
    <row r="54" spans="1:7" ht="12.75">
      <c r="A54" s="1"/>
      <c r="B54" s="1"/>
      <c r="C54" s="1"/>
      <c r="D54" s="1"/>
      <c r="E54" s="15"/>
      <c r="F54" s="15"/>
      <c r="G54" s="15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5" t="s">
        <v>58</v>
      </c>
      <c r="B59" s="5"/>
      <c r="C59" s="5"/>
      <c r="D59" s="1"/>
      <c r="E59" s="1"/>
      <c r="F59" s="1"/>
      <c r="G59" s="1"/>
    </row>
    <row r="60" spans="1:7" ht="12.75">
      <c r="A60" s="5" t="s">
        <v>88</v>
      </c>
      <c r="B60" s="5"/>
      <c r="C60" s="5"/>
      <c r="D60" s="1"/>
      <c r="E60" s="1"/>
      <c r="F60" s="1"/>
      <c r="G60" s="1"/>
    </row>
    <row r="61" spans="1:7" ht="12.75">
      <c r="A61" s="5" t="s">
        <v>59</v>
      </c>
      <c r="B61" s="5"/>
      <c r="C61" s="5"/>
      <c r="D61" s="1"/>
      <c r="E61" s="1"/>
      <c r="F61" s="1"/>
      <c r="G61" s="1"/>
    </row>
    <row r="62" spans="1:7" ht="12.75">
      <c r="A62" s="5" t="s">
        <v>134</v>
      </c>
      <c r="B62" s="5"/>
      <c r="C62" s="5"/>
      <c r="D62" s="1"/>
      <c r="E62" s="1"/>
      <c r="F62" s="1"/>
      <c r="G62" s="1"/>
    </row>
    <row r="63" spans="1:7" ht="12.75">
      <c r="A63" s="5" t="s">
        <v>61</v>
      </c>
      <c r="B63" s="4"/>
      <c r="C63" s="4"/>
      <c r="D63" s="1"/>
      <c r="E63" s="1"/>
      <c r="F63" s="1"/>
      <c r="G63" s="1"/>
    </row>
    <row r="64" spans="1:7" ht="12.75">
      <c r="A64" s="5" t="s">
        <v>62</v>
      </c>
      <c r="B64" s="4"/>
      <c r="C64" s="4"/>
      <c r="D64" s="1"/>
      <c r="E64" s="1"/>
      <c r="F64" s="1"/>
      <c r="G64" s="1"/>
    </row>
    <row r="65" spans="1:7" ht="12.75">
      <c r="A65" s="5" t="s">
        <v>63</v>
      </c>
      <c r="B65" s="4"/>
      <c r="C65" s="4"/>
      <c r="D65" s="1"/>
      <c r="E65" s="1"/>
      <c r="F65" s="1"/>
      <c r="G65" s="1"/>
    </row>
    <row r="66" spans="1:7" ht="12.75">
      <c r="A66" s="4"/>
      <c r="B66" s="4"/>
      <c r="C66" s="4"/>
      <c r="D66" s="1"/>
      <c r="E66" s="1"/>
      <c r="F66" s="1"/>
      <c r="G66" s="1"/>
    </row>
    <row r="67" spans="1:7" ht="12.75">
      <c r="A67" s="5"/>
      <c r="B67" s="4"/>
      <c r="C67" s="4"/>
      <c r="D67" s="1"/>
      <c r="E67" s="1"/>
      <c r="F67" s="1"/>
      <c r="G67" s="1"/>
    </row>
    <row r="68" spans="1:7" ht="12.75">
      <c r="A68" s="4"/>
      <c r="B68" s="4"/>
      <c r="C68" s="4"/>
      <c r="D68" s="1"/>
      <c r="E68" s="1"/>
      <c r="F68" s="1"/>
      <c r="G68" s="1"/>
    </row>
    <row r="69" spans="1:7" ht="12.75">
      <c r="A69" s="5" t="s">
        <v>71</v>
      </c>
      <c r="B69" s="5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4"/>
      <c r="B71" s="4"/>
      <c r="C71" s="4"/>
      <c r="D71" s="1"/>
      <c r="E71" s="1"/>
      <c r="F71" s="1"/>
      <c r="G71" s="1"/>
    </row>
    <row r="72" spans="1:7" ht="12.75">
      <c r="A72" s="4"/>
      <c r="B72" s="4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</sheetData>
  <mergeCells count="27">
    <mergeCell ref="A49:B49"/>
    <mergeCell ref="A50:B50"/>
    <mergeCell ref="A51:B51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0:C20"/>
    <mergeCell ref="A21:C21"/>
    <mergeCell ref="A27:B27"/>
    <mergeCell ref="A28:B28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G107"/>
  <sheetViews>
    <sheetView workbookViewId="0" topLeftCell="A24">
      <selection activeCell="C27" sqref="C27:C40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153</v>
      </c>
    </row>
    <row r="12" ht="12.75">
      <c r="A12" t="s">
        <v>154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1"/>
      <c r="E13" s="1"/>
      <c r="F13" s="1"/>
      <c r="G13" s="1"/>
    </row>
    <row r="14" spans="1:7" ht="12.75">
      <c r="A14" s="3" t="s">
        <v>1</v>
      </c>
      <c r="B14" s="11">
        <f>B18</f>
        <v>1156234.2</v>
      </c>
      <c r="C14" s="11">
        <v>75089.58</v>
      </c>
      <c r="D14" s="1"/>
      <c r="E14" s="1"/>
      <c r="F14" s="1"/>
      <c r="G14" s="1"/>
    </row>
    <row r="15" spans="1:7" ht="12.75">
      <c r="A15" s="3" t="s">
        <v>2</v>
      </c>
      <c r="B15" s="11">
        <f>B14-B17</f>
        <v>1156234.2</v>
      </c>
      <c r="C15" s="11">
        <f>C14-C17</f>
        <v>75089.58</v>
      </c>
      <c r="D15" s="1"/>
      <c r="E15" s="1"/>
      <c r="F15" s="1"/>
      <c r="G15" s="1"/>
    </row>
    <row r="16" spans="1:7" ht="12.75">
      <c r="A16" s="3" t="s">
        <v>3</v>
      </c>
      <c r="B16" s="11"/>
      <c r="C16" s="11"/>
      <c r="D16" s="1"/>
      <c r="E16" s="1"/>
      <c r="F16" s="1"/>
      <c r="G16" s="1"/>
    </row>
    <row r="17" spans="1:7" ht="12.75">
      <c r="A17" s="3" t="s">
        <v>4</v>
      </c>
      <c r="B17" s="11">
        <v>0</v>
      </c>
      <c r="C17" s="11">
        <v>0</v>
      </c>
      <c r="D17" s="1"/>
      <c r="E17" s="1"/>
      <c r="F17" s="1"/>
      <c r="G17" s="1"/>
    </row>
    <row r="18" spans="1:7" ht="12.75">
      <c r="A18" s="3" t="s">
        <v>5</v>
      </c>
      <c r="B18" s="11">
        <f>C52</f>
        <v>1156234.2</v>
      </c>
      <c r="C18" s="1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6.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 t="s">
        <v>10</v>
      </c>
      <c r="B23" s="3" t="s">
        <v>11</v>
      </c>
      <c r="C23" s="3" t="s">
        <v>12</v>
      </c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5" t="s">
        <v>13</v>
      </c>
      <c r="B25" s="5"/>
      <c r="C25" s="4"/>
      <c r="D25" s="1"/>
      <c r="E25" s="1"/>
      <c r="F25" s="1"/>
      <c r="G25" s="1"/>
    </row>
    <row r="26" spans="1:7" ht="12.75">
      <c r="A26" s="5" t="s">
        <v>14</v>
      </c>
      <c r="B26" s="5"/>
      <c r="C26" s="4"/>
      <c r="D26" s="1"/>
      <c r="E26" s="15"/>
      <c r="F26" s="15"/>
      <c r="G26" s="15"/>
    </row>
    <row r="27" spans="1:7" ht="25.5">
      <c r="A27" s="3" t="s">
        <v>15</v>
      </c>
      <c r="B27" s="3" t="s">
        <v>16</v>
      </c>
      <c r="C27" s="12">
        <f>C52*0.06</f>
        <v>69374.052</v>
      </c>
      <c r="D27" s="1"/>
      <c r="E27" s="15"/>
      <c r="F27" s="15"/>
      <c r="G27" s="15"/>
    </row>
    <row r="28" spans="1:7" ht="12.75">
      <c r="A28" s="3" t="s">
        <v>17</v>
      </c>
      <c r="B28" s="3" t="s">
        <v>18</v>
      </c>
      <c r="C28" s="12">
        <f>C52*0.015</f>
        <v>17343.513</v>
      </c>
      <c r="D28" s="1"/>
      <c r="E28" s="15"/>
      <c r="F28" s="15"/>
      <c r="G28" s="15"/>
    </row>
    <row r="29" spans="1:7" ht="12.75">
      <c r="A29" s="3" t="s">
        <v>19</v>
      </c>
      <c r="B29" s="3" t="s">
        <v>20</v>
      </c>
      <c r="C29" s="12"/>
      <c r="D29" s="1"/>
      <c r="E29" s="15"/>
      <c r="F29" s="15"/>
      <c r="G29" s="15"/>
    </row>
    <row r="30" spans="1:7" ht="12.75">
      <c r="A30" s="3" t="s">
        <v>21</v>
      </c>
      <c r="B30" s="3" t="s">
        <v>22</v>
      </c>
      <c r="C30" s="12">
        <f>C52*0.005</f>
        <v>5781.171</v>
      </c>
      <c r="D30" s="1"/>
      <c r="E30" s="15"/>
      <c r="F30" s="15"/>
      <c r="G30" s="15"/>
    </row>
    <row r="31" spans="1:7" ht="12.75">
      <c r="A31" s="3" t="s">
        <v>23</v>
      </c>
      <c r="B31" s="3" t="s">
        <v>24</v>
      </c>
      <c r="C31" s="12">
        <f>C52*0.01</f>
        <v>11562.342</v>
      </c>
      <c r="D31" s="1"/>
      <c r="E31" s="15"/>
      <c r="F31" s="15"/>
      <c r="G31" s="15"/>
    </row>
    <row r="32" spans="1:7" ht="12.75">
      <c r="A32" s="3" t="s">
        <v>25</v>
      </c>
      <c r="B32" s="3" t="s">
        <v>26</v>
      </c>
      <c r="C32" s="12">
        <f>C52*0.12</f>
        <v>138748.104</v>
      </c>
      <c r="D32" s="1"/>
      <c r="E32" s="15"/>
      <c r="F32" s="15"/>
      <c r="G32" s="15"/>
    </row>
    <row r="33" spans="1:7" ht="25.5">
      <c r="A33" s="3" t="s">
        <v>27</v>
      </c>
      <c r="B33" s="3" t="s">
        <v>28</v>
      </c>
      <c r="C33" s="12">
        <f>C52*0.0864</f>
        <v>99898.63488</v>
      </c>
      <c r="D33" s="1"/>
      <c r="E33" s="15"/>
      <c r="F33" s="15"/>
      <c r="G33" s="15"/>
    </row>
    <row r="34" spans="1:7" ht="25.5">
      <c r="A34" s="3" t="s">
        <v>29</v>
      </c>
      <c r="B34" s="3" t="s">
        <v>30</v>
      </c>
      <c r="C34" s="12">
        <f>C52*0.0285</f>
        <v>32952.6747</v>
      </c>
      <c r="D34" s="1"/>
      <c r="E34" s="15"/>
      <c r="F34" s="15"/>
      <c r="G34" s="15"/>
    </row>
    <row r="35" spans="1:7" ht="38.25">
      <c r="A35" s="3" t="s">
        <v>31</v>
      </c>
      <c r="B35" s="3" t="s">
        <v>30</v>
      </c>
      <c r="C35" s="12">
        <f>C52*0.026</f>
        <v>30062.0892</v>
      </c>
      <c r="D35" s="1"/>
      <c r="E35" s="15"/>
      <c r="F35" s="15"/>
      <c r="G35" s="15"/>
    </row>
    <row r="36" spans="1:7" ht="25.5">
      <c r="A36" s="3" t="s">
        <v>32</v>
      </c>
      <c r="B36" s="3" t="s">
        <v>33</v>
      </c>
      <c r="C36" s="12">
        <f>C52*0.002</f>
        <v>2312.4683999999997</v>
      </c>
      <c r="D36" s="1"/>
      <c r="E36" s="15"/>
      <c r="F36" s="15"/>
      <c r="G36" s="15"/>
    </row>
    <row r="37" spans="1:7" ht="38.25">
      <c r="A37" s="3" t="s">
        <v>50</v>
      </c>
      <c r="B37" s="3" t="s">
        <v>34</v>
      </c>
      <c r="C37" s="12">
        <f>C52*0.009</f>
        <v>10406.107799999998</v>
      </c>
      <c r="D37" s="1"/>
      <c r="E37" s="15"/>
      <c r="F37" s="15"/>
      <c r="G37" s="15"/>
    </row>
    <row r="38" spans="1:7" ht="25.5">
      <c r="A38" s="3" t="s">
        <v>35</v>
      </c>
      <c r="B38" s="3" t="s">
        <v>36</v>
      </c>
      <c r="C38" s="12">
        <f>C52*0.0111</f>
        <v>12834.19962</v>
      </c>
      <c r="D38" s="1"/>
      <c r="E38" s="15"/>
      <c r="F38" s="15"/>
      <c r="G38" s="15"/>
    </row>
    <row r="39" spans="1:7" ht="25.5">
      <c r="A39" s="3" t="s">
        <v>37</v>
      </c>
      <c r="B39" s="3" t="s">
        <v>133</v>
      </c>
      <c r="C39" s="12">
        <f>C52*0.004</f>
        <v>4624.9367999999995</v>
      </c>
      <c r="D39" s="1"/>
      <c r="E39" s="15"/>
      <c r="F39" s="15"/>
      <c r="G39" s="15"/>
    </row>
    <row r="40" spans="1:7" ht="12.75">
      <c r="A40" s="3" t="s">
        <v>38</v>
      </c>
      <c r="B40" s="3" t="s">
        <v>36</v>
      </c>
      <c r="C40" s="12">
        <f>C52*0.074</f>
        <v>85561.3308</v>
      </c>
      <c r="D40" s="1"/>
      <c r="E40" s="15"/>
      <c r="F40" s="15"/>
      <c r="G40" s="15"/>
    </row>
    <row r="41" spans="1:7" ht="25.5">
      <c r="A41" s="33" t="s">
        <v>143</v>
      </c>
      <c r="B41" s="3" t="s">
        <v>26</v>
      </c>
      <c r="C41" s="12">
        <f>C52*0.0236</f>
        <v>27287.127119999997</v>
      </c>
      <c r="D41" s="1"/>
      <c r="E41" s="15"/>
      <c r="F41" s="15"/>
      <c r="G41" s="15"/>
    </row>
    <row r="42" spans="1:7" ht="25.5">
      <c r="A42" s="33" t="s">
        <v>118</v>
      </c>
      <c r="B42" s="3" t="s">
        <v>43</v>
      </c>
      <c r="C42" s="12">
        <f>C52*0.05</f>
        <v>57811.71</v>
      </c>
      <c r="D42" s="1"/>
      <c r="E42" s="15"/>
      <c r="F42" s="15"/>
      <c r="G42" s="15"/>
    </row>
    <row r="43" spans="1:7" ht="25.5">
      <c r="A43" s="3" t="s">
        <v>44</v>
      </c>
      <c r="B43" s="3" t="s">
        <v>135</v>
      </c>
      <c r="C43" s="11"/>
      <c r="D43" s="1"/>
      <c r="E43" s="15"/>
      <c r="F43" s="15"/>
      <c r="G43" s="15"/>
    </row>
    <row r="44" spans="1:7" ht="25.5">
      <c r="A44" s="3" t="s">
        <v>45</v>
      </c>
      <c r="B44" s="3" t="s">
        <v>46</v>
      </c>
      <c r="C44" s="12">
        <f>C52*0.043</f>
        <v>49718.07059999999</v>
      </c>
      <c r="D44" s="1"/>
      <c r="E44" s="15"/>
      <c r="F44" s="15"/>
      <c r="G44" s="15"/>
    </row>
    <row r="45" spans="1:7" ht="38.25">
      <c r="A45" s="3" t="s">
        <v>47</v>
      </c>
      <c r="B45" s="3" t="s">
        <v>20</v>
      </c>
      <c r="C45" s="12">
        <f>C52*0.033</f>
        <v>38155.7286</v>
      </c>
      <c r="D45" s="1"/>
      <c r="E45" s="15"/>
      <c r="F45" s="15"/>
      <c r="G45" s="15"/>
    </row>
    <row r="46" spans="1:7" ht="25.5">
      <c r="A46" s="3" t="s">
        <v>49</v>
      </c>
      <c r="B46" s="3" t="s">
        <v>139</v>
      </c>
      <c r="C46" s="12">
        <f>C52*0.002</f>
        <v>2312.4683999999997</v>
      </c>
      <c r="D46" s="1"/>
      <c r="E46" s="15"/>
      <c r="F46" s="15"/>
      <c r="G46" s="15"/>
    </row>
    <row r="47" spans="1:7" ht="38.25">
      <c r="A47" s="31" t="s">
        <v>122</v>
      </c>
      <c r="B47" s="3" t="s">
        <v>53</v>
      </c>
      <c r="C47" s="12">
        <f>C52*0.198</f>
        <v>228934.3716</v>
      </c>
      <c r="D47" s="1"/>
      <c r="E47" s="15"/>
      <c r="F47" s="15"/>
      <c r="G47" s="15"/>
    </row>
    <row r="48" spans="1:7" ht="25.5">
      <c r="A48" s="3" t="s">
        <v>51</v>
      </c>
      <c r="B48" s="3" t="s">
        <v>36</v>
      </c>
      <c r="C48" s="12">
        <f>C52*0.1994</f>
        <v>230553.09947999998</v>
      </c>
      <c r="D48" s="1"/>
      <c r="E48" s="15"/>
      <c r="F48" s="15"/>
      <c r="G48" s="15"/>
    </row>
    <row r="49" spans="1:7" ht="12.75">
      <c r="A49" s="3" t="s">
        <v>52</v>
      </c>
      <c r="B49" s="3" t="s">
        <v>54</v>
      </c>
      <c r="C49" s="11"/>
      <c r="D49" s="1"/>
      <c r="E49" s="15"/>
      <c r="F49" s="15"/>
      <c r="G49" s="15"/>
    </row>
    <row r="50" spans="1:7" ht="12.75">
      <c r="A50" s="3" t="s">
        <v>85</v>
      </c>
      <c r="B50" s="3" t="s">
        <v>54</v>
      </c>
      <c r="C50" s="11"/>
      <c r="D50" s="1"/>
      <c r="E50" s="15"/>
      <c r="F50" s="15"/>
      <c r="G50" s="15"/>
    </row>
    <row r="51" spans="1:7" ht="25.5">
      <c r="A51" s="3" t="s">
        <v>55</v>
      </c>
      <c r="B51" s="3" t="s">
        <v>36</v>
      </c>
      <c r="C51" s="11"/>
      <c r="D51" s="1"/>
      <c r="E51" s="15"/>
      <c r="F51" s="15"/>
      <c r="G51" s="15"/>
    </row>
    <row r="52" spans="1:7" ht="12.75">
      <c r="A52" s="10" t="s">
        <v>56</v>
      </c>
      <c r="B52" s="10"/>
      <c r="C52" s="37">
        <v>1156234.2</v>
      </c>
      <c r="D52" s="1"/>
      <c r="E52" s="15"/>
      <c r="F52" s="38"/>
      <c r="G52" s="15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5" t="s">
        <v>58</v>
      </c>
      <c r="B59" s="5"/>
      <c r="C59" s="5"/>
      <c r="D59" s="1"/>
      <c r="E59" s="1"/>
      <c r="F59" s="1"/>
      <c r="G59" s="1"/>
    </row>
    <row r="60" spans="1:7" ht="12.75">
      <c r="A60" s="5" t="s">
        <v>88</v>
      </c>
      <c r="B60" s="5"/>
      <c r="C60" s="5"/>
      <c r="D60" s="1"/>
      <c r="E60" s="1"/>
      <c r="F60" s="1"/>
      <c r="G60" s="1"/>
    </row>
    <row r="61" spans="1:7" ht="12.75">
      <c r="A61" s="5" t="s">
        <v>59</v>
      </c>
      <c r="B61" s="5"/>
      <c r="C61" s="5"/>
      <c r="D61" s="1"/>
      <c r="E61" s="1"/>
      <c r="F61" s="1"/>
      <c r="G61" s="1"/>
    </row>
    <row r="62" spans="1:7" ht="12.75">
      <c r="A62" s="5" t="s">
        <v>134</v>
      </c>
      <c r="B62" s="5"/>
      <c r="C62" s="5"/>
      <c r="D62" s="1"/>
      <c r="E62" s="1"/>
      <c r="F62" s="1"/>
      <c r="G62" s="1"/>
    </row>
    <row r="63" spans="1:7" ht="12.75">
      <c r="A63" s="5" t="s">
        <v>61</v>
      </c>
      <c r="B63" s="4"/>
      <c r="C63" s="4"/>
      <c r="D63" s="1"/>
      <c r="E63" s="1"/>
      <c r="F63" s="1"/>
      <c r="G63" s="1"/>
    </row>
    <row r="64" spans="1:7" ht="12.75">
      <c r="A64" s="5" t="s">
        <v>62</v>
      </c>
      <c r="B64" s="4"/>
      <c r="C64" s="4"/>
      <c r="D64" s="1"/>
      <c r="E64" s="1"/>
      <c r="F64" s="1"/>
      <c r="G64" s="1"/>
    </row>
    <row r="65" spans="1:7" ht="12.75">
      <c r="A65" s="5" t="s">
        <v>63</v>
      </c>
      <c r="B65" s="4"/>
      <c r="C65" s="4"/>
      <c r="D65" s="1"/>
      <c r="E65" s="1"/>
      <c r="F65" s="1"/>
      <c r="G65" s="1"/>
    </row>
    <row r="66" spans="1:7" ht="12.75">
      <c r="A66" s="4"/>
      <c r="B66" s="4"/>
      <c r="C66" s="4"/>
      <c r="D66" s="1"/>
      <c r="E66" s="1"/>
      <c r="F66" s="1"/>
      <c r="G66" s="1"/>
    </row>
    <row r="67" spans="1:7" ht="12.75">
      <c r="A67" s="5"/>
      <c r="B67" s="4"/>
      <c r="C67" s="4"/>
      <c r="D67" s="1"/>
      <c r="E67" s="1"/>
      <c r="F67" s="1"/>
      <c r="G67" s="1"/>
    </row>
    <row r="68" spans="1:7" ht="12.75">
      <c r="A68" s="4"/>
      <c r="B68" s="4"/>
      <c r="C68" s="4"/>
      <c r="D68" s="1"/>
      <c r="E68" s="1"/>
      <c r="F68" s="1"/>
      <c r="G68" s="1"/>
    </row>
    <row r="69" spans="1:7" ht="12.75">
      <c r="A69" s="5" t="s">
        <v>71</v>
      </c>
      <c r="B69" s="5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4"/>
      <c r="B71" s="4"/>
      <c r="C71" s="4"/>
      <c r="D71" s="1"/>
      <c r="E71" s="1"/>
      <c r="F71" s="1"/>
      <c r="G71" s="1"/>
    </row>
    <row r="72" spans="1:7" ht="12.75">
      <c r="A72" s="4"/>
      <c r="B72" s="4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</sheetData>
  <mergeCells count="2">
    <mergeCell ref="A20:C20"/>
    <mergeCell ref="A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G107"/>
  <sheetViews>
    <sheetView workbookViewId="0" topLeftCell="A7">
      <selection activeCell="D35" sqref="D35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151</v>
      </c>
    </row>
    <row r="12" ht="12.75">
      <c r="A12" t="s">
        <v>152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1"/>
      <c r="E13" s="1"/>
      <c r="F13" s="1"/>
      <c r="G13" s="1"/>
    </row>
    <row r="14" spans="1:7" ht="12.75">
      <c r="A14" s="3" t="s">
        <v>1</v>
      </c>
      <c r="B14" s="11">
        <f>B18</f>
        <v>2477534.14</v>
      </c>
      <c r="C14" s="11">
        <v>200293.1</v>
      </c>
      <c r="D14" s="1"/>
      <c r="E14" s="1"/>
      <c r="F14" s="1"/>
      <c r="G14" s="1"/>
    </row>
    <row r="15" spans="1:7" ht="12.75">
      <c r="A15" s="3" t="s">
        <v>2</v>
      </c>
      <c r="B15" s="11">
        <f>B14-B17</f>
        <v>2477534.14</v>
      </c>
      <c r="C15" s="11">
        <f>C14-C17</f>
        <v>200293.1</v>
      </c>
      <c r="D15" s="1"/>
      <c r="E15" s="1"/>
      <c r="F15" s="1"/>
      <c r="G15" s="1"/>
    </row>
    <row r="16" spans="1:7" ht="12.75">
      <c r="A16" s="3" t="s">
        <v>3</v>
      </c>
      <c r="B16" s="11"/>
      <c r="C16" s="11"/>
      <c r="D16" s="1"/>
      <c r="E16" s="1"/>
      <c r="F16" s="1"/>
      <c r="G16" s="1"/>
    </row>
    <row r="17" spans="1:7" ht="12.75">
      <c r="A17" s="3" t="s">
        <v>4</v>
      </c>
      <c r="B17" s="11">
        <v>0</v>
      </c>
      <c r="C17" s="11">
        <v>0</v>
      </c>
      <c r="D17" s="1"/>
      <c r="E17" s="1"/>
      <c r="F17" s="1"/>
      <c r="G17" s="1"/>
    </row>
    <row r="18" spans="1:7" ht="12.75">
      <c r="A18" s="3" t="s">
        <v>5</v>
      </c>
      <c r="B18" s="11">
        <f>C52</f>
        <v>2477534.14</v>
      </c>
      <c r="C18" s="1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6.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 t="s">
        <v>10</v>
      </c>
      <c r="B23" s="3" t="s">
        <v>11</v>
      </c>
      <c r="C23" s="3" t="s">
        <v>12</v>
      </c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5" t="s">
        <v>13</v>
      </c>
      <c r="B25" s="5"/>
      <c r="C25" s="4"/>
      <c r="D25" s="1"/>
      <c r="E25" s="1"/>
      <c r="F25" s="1"/>
      <c r="G25" s="1"/>
    </row>
    <row r="26" spans="1:7" ht="12.75">
      <c r="A26" s="5" t="s">
        <v>14</v>
      </c>
      <c r="B26" s="5"/>
      <c r="C26" s="4"/>
      <c r="D26" s="1"/>
      <c r="E26" s="15"/>
      <c r="F26" s="15"/>
      <c r="G26" s="15"/>
    </row>
    <row r="27" spans="1:7" ht="25.5">
      <c r="A27" s="3" t="s">
        <v>15</v>
      </c>
      <c r="B27" s="3" t="s">
        <v>16</v>
      </c>
      <c r="C27" s="12">
        <f>C52*0.06</f>
        <v>148652.0484</v>
      </c>
      <c r="D27" s="1"/>
      <c r="E27" s="15"/>
      <c r="F27" s="15"/>
      <c r="G27" s="15"/>
    </row>
    <row r="28" spans="1:7" ht="12.75">
      <c r="A28" s="3" t="s">
        <v>17</v>
      </c>
      <c r="B28" s="3" t="s">
        <v>18</v>
      </c>
      <c r="C28" s="12">
        <f>C52*0.015</f>
        <v>37163.0121</v>
      </c>
      <c r="D28" s="1"/>
      <c r="E28" s="15"/>
      <c r="F28" s="15"/>
      <c r="G28" s="15"/>
    </row>
    <row r="29" spans="1:7" ht="12.75">
      <c r="A29" s="3" t="s">
        <v>19</v>
      </c>
      <c r="B29" s="3" t="s">
        <v>20</v>
      </c>
      <c r="C29" s="12"/>
      <c r="D29" s="1"/>
      <c r="E29" s="15"/>
      <c r="F29" s="15"/>
      <c r="G29" s="15"/>
    </row>
    <row r="30" spans="1:7" ht="12.75">
      <c r="A30" s="3" t="s">
        <v>21</v>
      </c>
      <c r="B30" s="3" t="s">
        <v>22</v>
      </c>
      <c r="C30" s="12">
        <f>C52*0.005</f>
        <v>12387.6707</v>
      </c>
      <c r="D30" s="1"/>
      <c r="E30" s="15"/>
      <c r="F30" s="15"/>
      <c r="G30" s="15"/>
    </row>
    <row r="31" spans="1:7" ht="12.75">
      <c r="A31" s="3" t="s">
        <v>23</v>
      </c>
      <c r="B31" s="3" t="s">
        <v>24</v>
      </c>
      <c r="C31" s="12">
        <f>C52*0.01</f>
        <v>24775.3414</v>
      </c>
      <c r="D31" s="1"/>
      <c r="E31" s="15"/>
      <c r="F31" s="15"/>
      <c r="G31" s="15"/>
    </row>
    <row r="32" spans="1:7" ht="12.75">
      <c r="A32" s="3" t="s">
        <v>25</v>
      </c>
      <c r="B32" s="3" t="s">
        <v>26</v>
      </c>
      <c r="C32" s="12">
        <f>C52*0.12</f>
        <v>297304.0968</v>
      </c>
      <c r="D32" s="1"/>
      <c r="E32" s="15"/>
      <c r="F32" s="15"/>
      <c r="G32" s="15"/>
    </row>
    <row r="33" spans="1:7" ht="25.5">
      <c r="A33" s="3" t="s">
        <v>27</v>
      </c>
      <c r="B33" s="3" t="s">
        <v>28</v>
      </c>
      <c r="C33" s="12">
        <f>C52*0.0864</f>
        <v>214058.94969600003</v>
      </c>
      <c r="D33" s="1"/>
      <c r="E33" s="15"/>
      <c r="F33" s="15"/>
      <c r="G33" s="15"/>
    </row>
    <row r="34" spans="1:7" ht="25.5">
      <c r="A34" s="3" t="s">
        <v>29</v>
      </c>
      <c r="B34" s="3" t="s">
        <v>30</v>
      </c>
      <c r="C34" s="12">
        <f>C52*0.0285</f>
        <v>70609.72299000001</v>
      </c>
      <c r="D34" s="1"/>
      <c r="E34" s="15"/>
      <c r="F34" s="15"/>
      <c r="G34" s="15"/>
    </row>
    <row r="35" spans="1:7" ht="38.25">
      <c r="A35" s="3" t="s">
        <v>31</v>
      </c>
      <c r="B35" s="3" t="s">
        <v>30</v>
      </c>
      <c r="C35" s="12">
        <f>C52*0.026</f>
        <v>64415.88764</v>
      </c>
      <c r="D35" s="1"/>
      <c r="E35" s="15"/>
      <c r="F35" s="15"/>
      <c r="G35" s="15"/>
    </row>
    <row r="36" spans="1:7" ht="25.5">
      <c r="A36" s="3" t="s">
        <v>32</v>
      </c>
      <c r="B36" s="3" t="s">
        <v>33</v>
      </c>
      <c r="C36" s="12">
        <f>C52*0.002</f>
        <v>4955.06828</v>
      </c>
      <c r="D36" s="1"/>
      <c r="E36" s="15"/>
      <c r="F36" s="15"/>
      <c r="G36" s="15"/>
    </row>
    <row r="37" spans="1:7" ht="38.25">
      <c r="A37" s="3" t="s">
        <v>50</v>
      </c>
      <c r="B37" s="3" t="s">
        <v>34</v>
      </c>
      <c r="C37" s="12">
        <f>C52*0.009</f>
        <v>22297.807259999998</v>
      </c>
      <c r="D37" s="1"/>
      <c r="E37" s="15"/>
      <c r="F37" s="15"/>
      <c r="G37" s="15"/>
    </row>
    <row r="38" spans="1:7" ht="25.5">
      <c r="A38" s="3" t="s">
        <v>35</v>
      </c>
      <c r="B38" s="3" t="s">
        <v>36</v>
      </c>
      <c r="C38" s="12">
        <f>C52*0.0111</f>
        <v>27500.628954000003</v>
      </c>
      <c r="D38" s="1"/>
      <c r="E38" s="15"/>
      <c r="F38" s="15"/>
      <c r="G38" s="15"/>
    </row>
    <row r="39" spans="1:7" ht="25.5">
      <c r="A39" s="3" t="s">
        <v>37</v>
      </c>
      <c r="B39" s="3" t="s">
        <v>133</v>
      </c>
      <c r="C39" s="12">
        <f>C52*0.004</f>
        <v>9910.13656</v>
      </c>
      <c r="D39" s="1"/>
      <c r="E39" s="15"/>
      <c r="F39" s="15"/>
      <c r="G39" s="15"/>
    </row>
    <row r="40" spans="1:7" ht="12.75">
      <c r="A40" s="3" t="s">
        <v>38</v>
      </c>
      <c r="B40" s="3" t="s">
        <v>36</v>
      </c>
      <c r="C40" s="12">
        <f>C52*0.074</f>
        <v>183337.52636</v>
      </c>
      <c r="D40" s="1"/>
      <c r="E40" s="15"/>
      <c r="F40" s="15"/>
      <c r="G40" s="15"/>
    </row>
    <row r="41" spans="1:7" ht="25.5">
      <c r="A41" s="33" t="s">
        <v>143</v>
      </c>
      <c r="B41" s="3" t="s">
        <v>26</v>
      </c>
      <c r="C41" s="12">
        <f>C52*0.0236</f>
        <v>58469.805704</v>
      </c>
      <c r="D41" s="1"/>
      <c r="E41" s="15"/>
      <c r="F41" s="15"/>
      <c r="G41" s="15"/>
    </row>
    <row r="42" spans="1:7" ht="25.5">
      <c r="A42" s="33" t="s">
        <v>118</v>
      </c>
      <c r="B42" s="3" t="s">
        <v>43</v>
      </c>
      <c r="C42" s="12">
        <f>C52*0.05</f>
        <v>123876.70700000001</v>
      </c>
      <c r="D42" s="1"/>
      <c r="E42" s="15"/>
      <c r="F42" s="15"/>
      <c r="G42" s="15"/>
    </row>
    <row r="43" spans="1:7" ht="25.5">
      <c r="A43" s="3" t="s">
        <v>44</v>
      </c>
      <c r="B43" s="3" t="s">
        <v>135</v>
      </c>
      <c r="C43" s="11"/>
      <c r="D43" s="1"/>
      <c r="E43" s="15"/>
      <c r="F43" s="15"/>
      <c r="G43" s="15"/>
    </row>
    <row r="44" spans="1:7" ht="25.5">
      <c r="A44" s="3" t="s">
        <v>45</v>
      </c>
      <c r="B44" s="3" t="s">
        <v>46</v>
      </c>
      <c r="C44" s="12">
        <f>C52*0.043</f>
        <v>106533.96802</v>
      </c>
      <c r="D44" s="1"/>
      <c r="E44" s="15"/>
      <c r="F44" s="15"/>
      <c r="G44" s="15"/>
    </row>
    <row r="45" spans="1:7" ht="38.25">
      <c r="A45" s="3" t="s">
        <v>47</v>
      </c>
      <c r="B45" s="3" t="s">
        <v>20</v>
      </c>
      <c r="C45" s="12">
        <f>C52*0.033</f>
        <v>81758.62662000001</v>
      </c>
      <c r="D45" s="1"/>
      <c r="E45" s="15"/>
      <c r="F45" s="15"/>
      <c r="G45" s="15"/>
    </row>
    <row r="46" spans="1:7" ht="25.5">
      <c r="A46" s="3" t="s">
        <v>49</v>
      </c>
      <c r="B46" s="3" t="s">
        <v>139</v>
      </c>
      <c r="C46" s="12">
        <f>C52*0.002</f>
        <v>4955.06828</v>
      </c>
      <c r="D46" s="1"/>
      <c r="E46" s="15"/>
      <c r="F46" s="15"/>
      <c r="G46" s="15"/>
    </row>
    <row r="47" spans="1:7" ht="38.25">
      <c r="A47" s="31" t="s">
        <v>122</v>
      </c>
      <c r="B47" s="3" t="s">
        <v>53</v>
      </c>
      <c r="C47" s="12">
        <f>C52*0.198</f>
        <v>490551.75972000003</v>
      </c>
      <c r="D47" s="1"/>
      <c r="E47" s="15"/>
      <c r="F47" s="15"/>
      <c r="G47" s="15"/>
    </row>
    <row r="48" spans="1:7" ht="25.5">
      <c r="A48" s="3" t="s">
        <v>51</v>
      </c>
      <c r="B48" s="3" t="s">
        <v>36</v>
      </c>
      <c r="C48" s="12">
        <f>C52*0.1994</f>
        <v>494020.307516</v>
      </c>
      <c r="D48" s="1"/>
      <c r="E48" s="15"/>
      <c r="F48" s="15"/>
      <c r="G48" s="15"/>
    </row>
    <row r="49" spans="1:7" ht="12.75">
      <c r="A49" s="3" t="s">
        <v>52</v>
      </c>
      <c r="B49" s="3" t="s">
        <v>54</v>
      </c>
      <c r="C49" s="11"/>
      <c r="D49" s="1"/>
      <c r="E49" s="15"/>
      <c r="F49" s="15"/>
      <c r="G49" s="15"/>
    </row>
    <row r="50" spans="1:7" ht="12.75">
      <c r="A50" s="3" t="s">
        <v>85</v>
      </c>
      <c r="B50" s="3" t="s">
        <v>54</v>
      </c>
      <c r="C50" s="11"/>
      <c r="D50" s="1"/>
      <c r="E50" s="15"/>
      <c r="F50" s="15"/>
      <c r="G50" s="15"/>
    </row>
    <row r="51" spans="1:7" ht="25.5">
      <c r="A51" s="3" t="s">
        <v>55</v>
      </c>
      <c r="B51" s="3" t="s">
        <v>36</v>
      </c>
      <c r="C51" s="11"/>
      <c r="D51" s="1"/>
      <c r="E51" s="15"/>
      <c r="F51" s="15"/>
      <c r="G51" s="15"/>
    </row>
    <row r="52" spans="1:7" ht="12.75">
      <c r="A52" s="10" t="s">
        <v>56</v>
      </c>
      <c r="B52" s="10"/>
      <c r="C52" s="37">
        <v>2477534.14</v>
      </c>
      <c r="D52" s="1"/>
      <c r="E52" s="15"/>
      <c r="F52" s="38"/>
      <c r="G52" s="15"/>
    </row>
    <row r="53" spans="1:7" ht="12.75">
      <c r="A53" s="1"/>
      <c r="B53" s="1"/>
      <c r="C53" s="1"/>
      <c r="D53" s="1"/>
      <c r="E53" s="15"/>
      <c r="F53" s="15"/>
      <c r="G53" s="15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5" t="s">
        <v>58</v>
      </c>
      <c r="B59" s="5"/>
      <c r="C59" s="5"/>
      <c r="D59" s="1"/>
      <c r="E59" s="1"/>
      <c r="F59" s="1"/>
      <c r="G59" s="1"/>
    </row>
    <row r="60" spans="1:7" ht="12.75">
      <c r="A60" s="5" t="s">
        <v>88</v>
      </c>
      <c r="B60" s="5"/>
      <c r="C60" s="5"/>
      <c r="D60" s="1"/>
      <c r="E60" s="1"/>
      <c r="F60" s="1"/>
      <c r="G60" s="1"/>
    </row>
    <row r="61" spans="1:7" ht="12.75">
      <c r="A61" s="5" t="s">
        <v>59</v>
      </c>
      <c r="B61" s="5"/>
      <c r="C61" s="5"/>
      <c r="D61" s="1"/>
      <c r="E61" s="1"/>
      <c r="F61" s="1"/>
      <c r="G61" s="1"/>
    </row>
    <row r="62" spans="1:7" ht="12.75">
      <c r="A62" s="5" t="s">
        <v>134</v>
      </c>
      <c r="B62" s="5"/>
      <c r="C62" s="5"/>
      <c r="D62" s="1"/>
      <c r="E62" s="1"/>
      <c r="F62" s="1"/>
      <c r="G62" s="1"/>
    </row>
    <row r="63" spans="1:7" ht="12.75">
      <c r="A63" s="5" t="s">
        <v>61</v>
      </c>
      <c r="B63" s="4"/>
      <c r="C63" s="4"/>
      <c r="D63" s="1"/>
      <c r="E63" s="1"/>
      <c r="F63" s="1"/>
      <c r="G63" s="1"/>
    </row>
    <row r="64" spans="1:7" ht="12.75">
      <c r="A64" s="5" t="s">
        <v>62</v>
      </c>
      <c r="B64" s="4"/>
      <c r="C64" s="4"/>
      <c r="D64" s="1"/>
      <c r="E64" s="1"/>
      <c r="F64" s="1"/>
      <c r="G64" s="1"/>
    </row>
    <row r="65" spans="1:7" ht="12.75">
      <c r="A65" s="5" t="s">
        <v>63</v>
      </c>
      <c r="B65" s="4"/>
      <c r="C65" s="4"/>
      <c r="D65" s="1"/>
      <c r="E65" s="1"/>
      <c r="F65" s="1"/>
      <c r="G65" s="1"/>
    </row>
    <row r="66" spans="1:7" ht="12.75">
      <c r="A66" s="4"/>
      <c r="B66" s="4"/>
      <c r="C66" s="4"/>
      <c r="D66" s="1"/>
      <c r="E66" s="1"/>
      <c r="F66" s="1"/>
      <c r="G66" s="1"/>
    </row>
    <row r="67" spans="1:7" ht="12.75">
      <c r="A67" s="5"/>
      <c r="B67" s="4"/>
      <c r="C67" s="4"/>
      <c r="D67" s="1"/>
      <c r="E67" s="1"/>
      <c r="F67" s="1"/>
      <c r="G67" s="1"/>
    </row>
    <row r="68" spans="1:7" ht="12.75">
      <c r="A68" s="4"/>
      <c r="B68" s="4"/>
      <c r="C68" s="4"/>
      <c r="D68" s="1"/>
      <c r="E68" s="1"/>
      <c r="F68" s="1"/>
      <c r="G68" s="1"/>
    </row>
    <row r="69" spans="1:7" ht="12.75">
      <c r="A69" s="5" t="s">
        <v>71</v>
      </c>
      <c r="B69" s="5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4"/>
      <c r="B71" s="4"/>
      <c r="C71" s="4"/>
      <c r="D71" s="1"/>
      <c r="E71" s="1"/>
      <c r="F71" s="1"/>
      <c r="G71" s="1"/>
    </row>
    <row r="72" spans="1:7" ht="12.75">
      <c r="A72" s="4"/>
      <c r="B72" s="4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</sheetData>
  <mergeCells count="2">
    <mergeCell ref="A20:C20"/>
    <mergeCell ref="A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G111"/>
  <sheetViews>
    <sheetView workbookViewId="0" topLeftCell="A26">
      <selection activeCell="G42" sqref="G42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148</v>
      </c>
    </row>
    <row r="12" ht="12.75">
      <c r="A12" t="s">
        <v>149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1"/>
      <c r="E13" s="1"/>
      <c r="F13" s="1"/>
      <c r="G13" s="1"/>
    </row>
    <row r="14" spans="1:7" ht="12.75">
      <c r="A14" s="3" t="s">
        <v>1</v>
      </c>
      <c r="B14" s="12">
        <f>B18</f>
        <v>1520617</v>
      </c>
      <c r="C14" s="11">
        <v>303243.91</v>
      </c>
      <c r="D14" s="1"/>
      <c r="E14" s="1"/>
      <c r="F14" s="1"/>
      <c r="G14" s="1"/>
    </row>
    <row r="15" spans="1:7" ht="12.75">
      <c r="A15" s="3" t="s">
        <v>2</v>
      </c>
      <c r="B15" s="12">
        <f>B14-B17</f>
        <v>1520617</v>
      </c>
      <c r="C15" s="11">
        <f>C14-C17</f>
        <v>303243.91</v>
      </c>
      <c r="D15" s="1"/>
      <c r="E15" s="1"/>
      <c r="F15" s="1"/>
      <c r="G15" s="1"/>
    </row>
    <row r="16" spans="1:7" ht="12.75">
      <c r="A16" s="3" t="s">
        <v>3</v>
      </c>
      <c r="B16" s="11"/>
      <c r="C16" s="11"/>
      <c r="D16" s="1"/>
      <c r="E16" s="1"/>
      <c r="F16" s="1"/>
      <c r="G16" s="1"/>
    </row>
    <row r="17" spans="1:7" ht="12.75">
      <c r="A17" s="3" t="s">
        <v>4</v>
      </c>
      <c r="B17" s="11"/>
      <c r="C17" s="11">
        <v>0</v>
      </c>
      <c r="D17" s="1"/>
      <c r="E17" s="1"/>
      <c r="F17" s="1"/>
      <c r="G17" s="1"/>
    </row>
    <row r="18" spans="1:7" ht="12.75">
      <c r="A18" s="3" t="s">
        <v>5</v>
      </c>
      <c r="B18" s="12">
        <f>C56</f>
        <v>1520617</v>
      </c>
      <c r="C18" s="1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6.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 t="s">
        <v>10</v>
      </c>
      <c r="B23" s="3" t="s">
        <v>11</v>
      </c>
      <c r="C23" s="3" t="s">
        <v>12</v>
      </c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5" t="s">
        <v>13</v>
      </c>
      <c r="B25" s="5"/>
      <c r="C25" s="4"/>
      <c r="D25" s="1"/>
      <c r="E25" s="1"/>
      <c r="F25" s="1"/>
      <c r="G25" s="1"/>
    </row>
    <row r="26" spans="1:7" ht="12.75">
      <c r="A26" s="5" t="s">
        <v>14</v>
      </c>
      <c r="B26" s="5"/>
      <c r="C26" s="4"/>
      <c r="D26" s="1"/>
      <c r="E26" s="1"/>
      <c r="F26" s="1"/>
      <c r="G26" s="1"/>
    </row>
    <row r="27" spans="1:7" ht="25.5">
      <c r="A27" s="3" t="s">
        <v>15</v>
      </c>
      <c r="B27" s="3" t="s">
        <v>16</v>
      </c>
      <c r="C27" s="12">
        <f>C56*0.06</f>
        <v>91237.01999999999</v>
      </c>
      <c r="D27" s="1"/>
      <c r="E27" s="1"/>
      <c r="F27" s="1"/>
      <c r="G27" s="1"/>
    </row>
    <row r="28" spans="1:7" ht="12.75">
      <c r="A28" s="3" t="s">
        <v>17</v>
      </c>
      <c r="B28" s="3" t="s">
        <v>18</v>
      </c>
      <c r="C28" s="12">
        <f>C56*0.015</f>
        <v>22809.254999999997</v>
      </c>
      <c r="D28" s="1"/>
      <c r="E28" s="1"/>
      <c r="F28" s="1"/>
      <c r="G28" s="1"/>
    </row>
    <row r="29" spans="1:7" ht="12.75">
      <c r="A29" s="3" t="s">
        <v>19</v>
      </c>
      <c r="B29" s="3" t="s">
        <v>20</v>
      </c>
      <c r="C29" s="12"/>
      <c r="D29" s="1"/>
      <c r="E29" s="1"/>
      <c r="F29" s="1"/>
      <c r="G29" s="1"/>
    </row>
    <row r="30" spans="1:7" ht="12.75">
      <c r="A30" s="3" t="s">
        <v>21</v>
      </c>
      <c r="B30" s="3" t="s">
        <v>22</v>
      </c>
      <c r="C30" s="12">
        <f>C56*0.005</f>
        <v>7603.085</v>
      </c>
      <c r="D30" s="1"/>
      <c r="E30" s="1"/>
      <c r="F30" s="1"/>
      <c r="G30" s="1"/>
    </row>
    <row r="31" spans="1:7" ht="12.75">
      <c r="A31" s="3" t="s">
        <v>23</v>
      </c>
      <c r="B31" s="3" t="s">
        <v>24</v>
      </c>
      <c r="C31" s="12">
        <f>C56*0.01</f>
        <v>15206.17</v>
      </c>
      <c r="D31" s="1"/>
      <c r="E31" s="1"/>
      <c r="F31" s="1"/>
      <c r="G31" s="1"/>
    </row>
    <row r="32" spans="1:7" ht="12.75">
      <c r="A32" s="3" t="s">
        <v>25</v>
      </c>
      <c r="B32" s="3" t="s">
        <v>26</v>
      </c>
      <c r="C32" s="12">
        <f>C56*0.12</f>
        <v>182474.03999999998</v>
      </c>
      <c r="D32" s="1"/>
      <c r="E32" s="1"/>
      <c r="F32" s="1"/>
      <c r="G32" s="1"/>
    </row>
    <row r="33" spans="1:7" ht="12.75">
      <c r="A33" s="70" t="s">
        <v>27</v>
      </c>
      <c r="B33" s="48" t="s">
        <v>28</v>
      </c>
      <c r="C33" s="50">
        <f>C56*0.0564</f>
        <v>85762.7988</v>
      </c>
      <c r="D33" s="1"/>
      <c r="E33" s="1"/>
      <c r="F33" s="1"/>
      <c r="G33" s="1"/>
    </row>
    <row r="34" spans="1:7" ht="12.75">
      <c r="A34" s="71"/>
      <c r="B34" s="49"/>
      <c r="C34" s="77"/>
      <c r="D34" s="1"/>
      <c r="E34" s="1"/>
      <c r="F34" s="1"/>
      <c r="G34" s="1"/>
    </row>
    <row r="35" spans="1:7" ht="25.5">
      <c r="A35" s="3" t="s">
        <v>29</v>
      </c>
      <c r="B35" s="3" t="s">
        <v>30</v>
      </c>
      <c r="C35" s="12">
        <f>C56*0.0285</f>
        <v>43337.584500000004</v>
      </c>
      <c r="D35" s="1"/>
      <c r="E35" s="1"/>
      <c r="F35" s="1"/>
      <c r="G35" s="1"/>
    </row>
    <row r="36" spans="1:7" ht="38.25">
      <c r="A36" s="3" t="s">
        <v>31</v>
      </c>
      <c r="B36" s="3" t="s">
        <v>30</v>
      </c>
      <c r="C36" s="12">
        <f>C56*0.026</f>
        <v>39536.042</v>
      </c>
      <c r="D36" s="1"/>
      <c r="E36" s="1"/>
      <c r="F36" s="1"/>
      <c r="G36" s="1"/>
    </row>
    <row r="37" spans="1:7" ht="25.5">
      <c r="A37" s="3" t="s">
        <v>32</v>
      </c>
      <c r="B37" s="3" t="s">
        <v>33</v>
      </c>
      <c r="C37" s="12">
        <f>C56*0.002</f>
        <v>3041.234</v>
      </c>
      <c r="D37" s="1"/>
      <c r="E37" s="1"/>
      <c r="F37" s="1"/>
      <c r="G37" s="1"/>
    </row>
    <row r="38" spans="1:7" ht="38.25">
      <c r="A38" s="3" t="s">
        <v>50</v>
      </c>
      <c r="B38" s="3" t="s">
        <v>34</v>
      </c>
      <c r="C38" s="12">
        <f>C56*0.009</f>
        <v>13685.552999999998</v>
      </c>
      <c r="D38" s="1"/>
      <c r="E38" s="1"/>
      <c r="F38" s="1"/>
      <c r="G38" s="1"/>
    </row>
    <row r="39" spans="1:7" ht="25.5">
      <c r="A39" s="3" t="s">
        <v>35</v>
      </c>
      <c r="B39" s="3" t="s">
        <v>36</v>
      </c>
      <c r="C39" s="12">
        <f>C56*0.0111</f>
        <v>16878.848700000002</v>
      </c>
      <c r="D39" s="1"/>
      <c r="E39" s="1"/>
      <c r="F39" s="1"/>
      <c r="G39" s="1"/>
    </row>
    <row r="40" spans="1:7" ht="25.5">
      <c r="A40" s="3" t="s">
        <v>37</v>
      </c>
      <c r="B40" s="3" t="s">
        <v>133</v>
      </c>
      <c r="C40" s="12">
        <f>C56*0.004</f>
        <v>6082.468</v>
      </c>
      <c r="D40" s="1"/>
      <c r="E40" s="1"/>
      <c r="F40" s="1"/>
      <c r="G40" s="1"/>
    </row>
    <row r="41" spans="1:7" ht="12.75">
      <c r="A41" s="3" t="s">
        <v>38</v>
      </c>
      <c r="B41" s="3" t="s">
        <v>36</v>
      </c>
      <c r="C41" s="12">
        <f>C56*0.074</f>
        <v>112525.658</v>
      </c>
      <c r="D41" s="1"/>
      <c r="E41" s="1"/>
      <c r="F41" s="1"/>
      <c r="G41" s="1"/>
    </row>
    <row r="42" spans="1:7" ht="25.5">
      <c r="A42" s="3" t="s">
        <v>40</v>
      </c>
      <c r="B42" s="3" t="s">
        <v>39</v>
      </c>
      <c r="C42" s="12">
        <f>C56*0.02</f>
        <v>30412.34</v>
      </c>
      <c r="D42" s="1"/>
      <c r="E42" s="1"/>
      <c r="F42" s="1"/>
      <c r="G42" s="1"/>
    </row>
    <row r="43" spans="1:7" ht="38.25">
      <c r="A43" s="3" t="s">
        <v>41</v>
      </c>
      <c r="B43" s="3" t="s">
        <v>42</v>
      </c>
      <c r="C43" s="12">
        <f>C56*0.01</f>
        <v>15206.17</v>
      </c>
      <c r="D43" s="1"/>
      <c r="E43" s="1"/>
      <c r="F43" s="1"/>
      <c r="G43" s="1"/>
    </row>
    <row r="44" spans="1:7" ht="25.5">
      <c r="A44" s="33" t="s">
        <v>143</v>
      </c>
      <c r="B44" s="3" t="s">
        <v>26</v>
      </c>
      <c r="C44" s="12">
        <f>C56*0.0236</f>
        <v>35886.5612</v>
      </c>
      <c r="D44" s="1"/>
      <c r="E44" s="1"/>
      <c r="F44" s="1"/>
      <c r="G44" s="1"/>
    </row>
    <row r="45" spans="1:7" ht="25.5">
      <c r="A45" s="33" t="s">
        <v>118</v>
      </c>
      <c r="B45" s="3" t="s">
        <v>43</v>
      </c>
      <c r="C45" s="12">
        <f>C56*0.05</f>
        <v>76030.85</v>
      </c>
      <c r="D45" s="1"/>
      <c r="E45" s="1"/>
      <c r="F45" s="1"/>
      <c r="G45" s="1"/>
    </row>
    <row r="46" spans="1:7" ht="25.5">
      <c r="A46" s="3" t="s">
        <v>44</v>
      </c>
      <c r="B46" s="3" t="s">
        <v>135</v>
      </c>
      <c r="C46" s="11"/>
      <c r="D46" s="1"/>
      <c r="E46" s="1"/>
      <c r="F46" s="1"/>
      <c r="G46" s="1"/>
    </row>
    <row r="47" spans="1:7" ht="25.5">
      <c r="A47" s="3" t="s">
        <v>45</v>
      </c>
      <c r="B47" s="3" t="s">
        <v>46</v>
      </c>
      <c r="C47" s="12">
        <f>C56*0.043</f>
        <v>65386.530999999995</v>
      </c>
      <c r="D47" s="1"/>
      <c r="E47" s="1"/>
      <c r="F47" s="1"/>
      <c r="G47" s="1"/>
    </row>
    <row r="48" spans="1:7" ht="38.25">
      <c r="A48" s="3" t="s">
        <v>47</v>
      </c>
      <c r="B48" s="3" t="s">
        <v>20</v>
      </c>
      <c r="C48" s="12">
        <f>C56*0.03</f>
        <v>45618.509999999995</v>
      </c>
      <c r="D48" s="1"/>
      <c r="E48" s="1"/>
      <c r="F48" s="1"/>
      <c r="G48" s="1"/>
    </row>
    <row r="49" spans="1:7" ht="25.5">
      <c r="A49" s="3" t="s">
        <v>48</v>
      </c>
      <c r="B49" s="3" t="s">
        <v>42</v>
      </c>
      <c r="C49" s="12">
        <f>C56*0.003</f>
        <v>4561.851</v>
      </c>
      <c r="D49" s="1"/>
      <c r="E49" s="1"/>
      <c r="F49" s="1"/>
      <c r="G49" s="1"/>
    </row>
    <row r="50" spans="1:7" ht="25.5">
      <c r="A50" s="3" t="s">
        <v>49</v>
      </c>
      <c r="B50" s="3" t="s">
        <v>139</v>
      </c>
      <c r="C50" s="12">
        <f>C56*0.002</f>
        <v>3041.234</v>
      </c>
      <c r="D50" s="1"/>
      <c r="E50" s="1"/>
      <c r="F50" s="1"/>
      <c r="G50" s="1"/>
    </row>
    <row r="51" spans="1:7" ht="38.25">
      <c r="A51" s="31" t="s">
        <v>122</v>
      </c>
      <c r="B51" s="3" t="s">
        <v>53</v>
      </c>
      <c r="C51" s="12">
        <f>C56*0.198</f>
        <v>301082.166</v>
      </c>
      <c r="D51" s="1"/>
      <c r="E51" s="1"/>
      <c r="F51" s="1"/>
      <c r="G51" s="1"/>
    </row>
    <row r="52" spans="1:7" ht="25.5">
      <c r="A52" s="3" t="s">
        <v>51</v>
      </c>
      <c r="B52" s="3" t="s">
        <v>36</v>
      </c>
      <c r="C52" s="12">
        <f>C56*0.1994</f>
        <v>303211.0298</v>
      </c>
      <c r="D52" s="1"/>
      <c r="E52" s="1"/>
      <c r="F52" s="1"/>
      <c r="G52" s="1"/>
    </row>
    <row r="53" spans="1:7" ht="12.75">
      <c r="A53" s="3" t="s">
        <v>52</v>
      </c>
      <c r="B53" s="3" t="s">
        <v>54</v>
      </c>
      <c r="C53" s="11"/>
      <c r="D53" s="1"/>
      <c r="E53" s="1"/>
      <c r="F53" s="1"/>
      <c r="G53" s="1"/>
    </row>
    <row r="54" spans="1:7" ht="12.75">
      <c r="A54" s="3" t="s">
        <v>85</v>
      </c>
      <c r="B54" s="3" t="s">
        <v>54</v>
      </c>
      <c r="C54" s="11"/>
      <c r="D54" s="1"/>
      <c r="E54" s="1"/>
      <c r="F54" s="1"/>
      <c r="G54" s="1"/>
    </row>
    <row r="55" spans="1:7" ht="25.5">
      <c r="A55" s="3" t="s">
        <v>55</v>
      </c>
      <c r="B55" s="3" t="s">
        <v>36</v>
      </c>
      <c r="C55" s="11"/>
      <c r="D55" s="1"/>
      <c r="E55" s="1"/>
      <c r="F55" s="1"/>
      <c r="G55" s="1"/>
    </row>
    <row r="56" spans="1:7" ht="12.75">
      <c r="A56" s="10" t="s">
        <v>56</v>
      </c>
      <c r="B56" s="10"/>
      <c r="C56" s="13">
        <v>1520617</v>
      </c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5" t="s">
        <v>58</v>
      </c>
      <c r="B63" s="5"/>
      <c r="C63" s="5"/>
      <c r="D63" s="1"/>
      <c r="E63" s="1"/>
      <c r="F63" s="1"/>
      <c r="G63" s="1"/>
    </row>
    <row r="64" spans="1:7" ht="12.75">
      <c r="A64" s="5" t="s">
        <v>88</v>
      </c>
      <c r="B64" s="5"/>
      <c r="C64" s="5"/>
      <c r="D64" s="1"/>
      <c r="E64" s="1"/>
      <c r="F64" s="1"/>
      <c r="G64" s="1"/>
    </row>
    <row r="65" spans="1:7" ht="12.75">
      <c r="A65" s="5" t="s">
        <v>59</v>
      </c>
      <c r="B65" s="5"/>
      <c r="C65" s="5"/>
      <c r="D65" s="1"/>
      <c r="E65" s="1"/>
      <c r="F65" s="1"/>
      <c r="G65" s="1"/>
    </row>
    <row r="66" spans="1:7" ht="12.75">
      <c r="A66" s="5" t="s">
        <v>134</v>
      </c>
      <c r="B66" s="5"/>
      <c r="C66" s="5"/>
      <c r="D66" s="1"/>
      <c r="E66" s="1"/>
      <c r="F66" s="1"/>
      <c r="G66" s="1"/>
    </row>
    <row r="67" spans="1:7" ht="12.75">
      <c r="A67" s="5" t="s">
        <v>61</v>
      </c>
      <c r="B67" s="4"/>
      <c r="C67" s="4"/>
      <c r="D67" s="1"/>
      <c r="E67" s="1"/>
      <c r="F67" s="1"/>
      <c r="G67" s="1"/>
    </row>
    <row r="68" spans="1:7" ht="12.75">
      <c r="A68" s="5" t="s">
        <v>62</v>
      </c>
      <c r="B68" s="4"/>
      <c r="C68" s="4"/>
      <c r="D68" s="1"/>
      <c r="E68" s="1"/>
      <c r="F68" s="1"/>
      <c r="G68" s="1"/>
    </row>
    <row r="69" spans="1:7" ht="12.75">
      <c r="A69" s="5" t="s">
        <v>63</v>
      </c>
      <c r="B69" s="4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5"/>
      <c r="B71" s="4"/>
      <c r="C71" s="4"/>
      <c r="D71" s="1"/>
      <c r="E71" s="1"/>
      <c r="F71" s="1"/>
      <c r="G71" s="1"/>
    </row>
    <row r="72" spans="1:7" ht="12.75">
      <c r="A72" s="5" t="s">
        <v>71</v>
      </c>
      <c r="B72" s="5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4"/>
      <c r="B77" s="4"/>
      <c r="C77" s="4"/>
      <c r="D77" s="1"/>
      <c r="E77" s="1"/>
      <c r="F77" s="1"/>
      <c r="G77" s="1"/>
    </row>
    <row r="78" spans="1:7" ht="12.75">
      <c r="A78" s="4"/>
      <c r="B78" s="4"/>
      <c r="C78" s="4"/>
      <c r="D78" s="1"/>
      <c r="E78" s="1"/>
      <c r="F78" s="1"/>
      <c r="G78" s="1"/>
    </row>
    <row r="79" spans="1:7" ht="12.75">
      <c r="A79" s="4"/>
      <c r="B79" s="4"/>
      <c r="C79" s="4"/>
      <c r="D79" s="1"/>
      <c r="E79" s="1"/>
      <c r="F79" s="1"/>
      <c r="G79" s="1"/>
    </row>
    <row r="80" spans="1:7" ht="12.75">
      <c r="A80" s="4"/>
      <c r="B80" s="4"/>
      <c r="C80" s="4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</sheetData>
  <mergeCells count="5">
    <mergeCell ref="A20:C20"/>
    <mergeCell ref="A21:C21"/>
    <mergeCell ref="A33:A34"/>
    <mergeCell ref="B33:B34"/>
    <mergeCell ref="C33:C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G107"/>
  <sheetViews>
    <sheetView workbookViewId="0" topLeftCell="A23">
      <selection activeCell="C27" sqref="C27:C40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145</v>
      </c>
    </row>
    <row r="12" ht="12.75">
      <c r="A12" t="s">
        <v>146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1"/>
      <c r="E13" s="1"/>
      <c r="F13" s="1"/>
      <c r="G13" s="1"/>
    </row>
    <row r="14" spans="1:7" ht="12.75">
      <c r="A14" s="3" t="s">
        <v>1</v>
      </c>
      <c r="B14" s="11">
        <f>B18</f>
        <v>1121982.58</v>
      </c>
      <c r="C14" s="11">
        <v>192822.8</v>
      </c>
      <c r="D14" s="1"/>
      <c r="E14" s="1"/>
      <c r="F14" s="1"/>
      <c r="G14" s="1"/>
    </row>
    <row r="15" spans="1:7" ht="12.75">
      <c r="A15" s="3" t="s">
        <v>2</v>
      </c>
      <c r="B15" s="11">
        <f>B14-B17</f>
        <v>1121982.58</v>
      </c>
      <c r="C15" s="11">
        <f>C14-C17</f>
        <v>192822.8</v>
      </c>
      <c r="D15" s="1"/>
      <c r="E15" s="1"/>
      <c r="F15" s="1"/>
      <c r="G15" s="1"/>
    </row>
    <row r="16" spans="1:7" ht="12.75">
      <c r="A16" s="3" t="s">
        <v>3</v>
      </c>
      <c r="B16" s="11"/>
      <c r="C16" s="11"/>
      <c r="D16" s="1"/>
      <c r="E16" s="1"/>
      <c r="F16" s="1"/>
      <c r="G16" s="1"/>
    </row>
    <row r="17" spans="1:7" ht="12.75">
      <c r="A17" s="3" t="s">
        <v>4</v>
      </c>
      <c r="B17" s="11">
        <v>0</v>
      </c>
      <c r="C17" s="11">
        <v>0</v>
      </c>
      <c r="D17" s="1"/>
      <c r="E17" s="1"/>
      <c r="F17" s="1"/>
      <c r="G17" s="1"/>
    </row>
    <row r="18" spans="1:7" ht="12.75">
      <c r="A18" s="3" t="s">
        <v>5</v>
      </c>
      <c r="B18" s="11">
        <f>C52</f>
        <v>1121982.58</v>
      </c>
      <c r="C18" s="1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6.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 t="s">
        <v>10</v>
      </c>
      <c r="B23" s="3" t="s">
        <v>11</v>
      </c>
      <c r="C23" s="3" t="s">
        <v>12</v>
      </c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5" t="s">
        <v>13</v>
      </c>
      <c r="B25" s="5"/>
      <c r="C25" s="4"/>
      <c r="D25" s="1"/>
      <c r="E25" s="1"/>
      <c r="F25" s="1"/>
      <c r="G25" s="1"/>
    </row>
    <row r="26" spans="1:7" ht="12.75">
      <c r="A26" s="5" t="s">
        <v>14</v>
      </c>
      <c r="B26" s="5"/>
      <c r="C26" s="4"/>
      <c r="D26" s="1"/>
      <c r="E26" s="15"/>
      <c r="F26" s="15"/>
      <c r="G26" s="15"/>
    </row>
    <row r="27" spans="1:7" ht="25.5">
      <c r="A27" s="3" t="s">
        <v>15</v>
      </c>
      <c r="B27" s="3" t="s">
        <v>16</v>
      </c>
      <c r="C27" s="12">
        <f>C52*0.06</f>
        <v>67318.9548</v>
      </c>
      <c r="D27" s="1"/>
      <c r="E27" s="15"/>
      <c r="F27" s="15"/>
      <c r="G27" s="15"/>
    </row>
    <row r="28" spans="1:7" ht="12.75">
      <c r="A28" s="3" t="s">
        <v>17</v>
      </c>
      <c r="B28" s="3" t="s">
        <v>18</v>
      </c>
      <c r="C28" s="12">
        <f>C52*0.015</f>
        <v>16829.7387</v>
      </c>
      <c r="D28" s="1"/>
      <c r="E28" s="15"/>
      <c r="F28" s="15"/>
      <c r="G28" s="15"/>
    </row>
    <row r="29" spans="1:7" ht="12.75">
      <c r="A29" s="3" t="s">
        <v>19</v>
      </c>
      <c r="B29" s="3" t="s">
        <v>20</v>
      </c>
      <c r="C29" s="12"/>
      <c r="D29" s="1"/>
      <c r="E29" s="15"/>
      <c r="F29" s="15"/>
      <c r="G29" s="15"/>
    </row>
    <row r="30" spans="1:7" ht="12.75">
      <c r="A30" s="3" t="s">
        <v>21</v>
      </c>
      <c r="B30" s="3" t="s">
        <v>22</v>
      </c>
      <c r="C30" s="12">
        <f>C52*0.005</f>
        <v>5609.9129</v>
      </c>
      <c r="D30" s="1"/>
      <c r="E30" s="15"/>
      <c r="F30" s="15"/>
      <c r="G30" s="15"/>
    </row>
    <row r="31" spans="1:7" ht="12.75">
      <c r="A31" s="3" t="s">
        <v>23</v>
      </c>
      <c r="B31" s="3" t="s">
        <v>24</v>
      </c>
      <c r="C31" s="12">
        <f>C52*0.01</f>
        <v>11219.8258</v>
      </c>
      <c r="D31" s="1"/>
      <c r="E31" s="15"/>
      <c r="F31" s="15"/>
      <c r="G31" s="15"/>
    </row>
    <row r="32" spans="1:7" ht="12.75">
      <c r="A32" s="3" t="s">
        <v>25</v>
      </c>
      <c r="B32" s="3" t="s">
        <v>26</v>
      </c>
      <c r="C32" s="12">
        <f>C52*0.12</f>
        <v>134637.9096</v>
      </c>
      <c r="D32" s="1"/>
      <c r="E32" s="15"/>
      <c r="F32" s="15"/>
      <c r="G32" s="15"/>
    </row>
    <row r="33" spans="1:7" ht="25.5">
      <c r="A33" s="3" t="s">
        <v>27</v>
      </c>
      <c r="B33" s="3" t="s">
        <v>28</v>
      </c>
      <c r="C33" s="12">
        <f>C52*0.0864</f>
        <v>96939.29491200001</v>
      </c>
      <c r="D33" s="1"/>
      <c r="E33" s="15"/>
      <c r="F33" s="15"/>
      <c r="G33" s="15"/>
    </row>
    <row r="34" spans="1:7" ht="25.5">
      <c r="A34" s="3" t="s">
        <v>29</v>
      </c>
      <c r="B34" s="3" t="s">
        <v>30</v>
      </c>
      <c r="C34" s="12">
        <f>C52*0.0285</f>
        <v>31976.50353</v>
      </c>
      <c r="D34" s="1"/>
      <c r="E34" s="15"/>
      <c r="F34" s="15"/>
      <c r="G34" s="15"/>
    </row>
    <row r="35" spans="1:7" ht="38.25">
      <c r="A35" s="3" t="s">
        <v>31</v>
      </c>
      <c r="B35" s="3" t="s">
        <v>30</v>
      </c>
      <c r="C35" s="12">
        <f>C52*0.026</f>
        <v>29171.54708</v>
      </c>
      <c r="D35" s="1"/>
      <c r="E35" s="15"/>
      <c r="F35" s="15"/>
      <c r="G35" s="15"/>
    </row>
    <row r="36" spans="1:7" ht="25.5">
      <c r="A36" s="3" t="s">
        <v>32</v>
      </c>
      <c r="B36" s="3" t="s">
        <v>33</v>
      </c>
      <c r="C36" s="12">
        <f>C52*0.002</f>
        <v>2243.96516</v>
      </c>
      <c r="D36" s="1"/>
      <c r="E36" s="15"/>
      <c r="F36" s="15"/>
      <c r="G36" s="15"/>
    </row>
    <row r="37" spans="1:7" ht="38.25">
      <c r="A37" s="3" t="s">
        <v>50</v>
      </c>
      <c r="B37" s="3" t="s">
        <v>34</v>
      </c>
      <c r="C37" s="12">
        <f>C52*0.009</f>
        <v>10097.84322</v>
      </c>
      <c r="D37" s="1"/>
      <c r="E37" s="15"/>
      <c r="F37" s="15"/>
      <c r="G37" s="15"/>
    </row>
    <row r="38" spans="1:7" ht="25.5">
      <c r="A38" s="3" t="s">
        <v>35</v>
      </c>
      <c r="B38" s="3" t="s">
        <v>36</v>
      </c>
      <c r="C38" s="12">
        <f>C52*0.0111</f>
        <v>12454.006638</v>
      </c>
      <c r="D38" s="1"/>
      <c r="E38" s="15"/>
      <c r="F38" s="15"/>
      <c r="G38" s="15"/>
    </row>
    <row r="39" spans="1:7" ht="25.5">
      <c r="A39" s="3" t="s">
        <v>37</v>
      </c>
      <c r="B39" s="3" t="s">
        <v>133</v>
      </c>
      <c r="C39" s="12">
        <f>C52*0.004</f>
        <v>4487.93032</v>
      </c>
      <c r="D39" s="1"/>
      <c r="E39" s="15"/>
      <c r="F39" s="15"/>
      <c r="G39" s="15"/>
    </row>
    <row r="40" spans="1:7" ht="12.75">
      <c r="A40" s="3" t="s">
        <v>38</v>
      </c>
      <c r="B40" s="3" t="s">
        <v>36</v>
      </c>
      <c r="C40" s="12">
        <f>C52*0.074</f>
        <v>83026.71092</v>
      </c>
      <c r="D40" s="1"/>
      <c r="E40" s="15"/>
      <c r="F40" s="15"/>
      <c r="G40" s="15"/>
    </row>
    <row r="41" spans="1:7" ht="25.5">
      <c r="A41" s="33" t="s">
        <v>143</v>
      </c>
      <c r="B41" s="3" t="s">
        <v>26</v>
      </c>
      <c r="C41" s="12">
        <f>C52*0.0236</f>
        <v>26478.788888000003</v>
      </c>
      <c r="D41" s="1"/>
      <c r="E41" s="15"/>
      <c r="F41" s="15"/>
      <c r="G41" s="15"/>
    </row>
    <row r="42" spans="1:7" ht="25.5">
      <c r="A42" s="33" t="s">
        <v>118</v>
      </c>
      <c r="B42" s="3" t="s">
        <v>43</v>
      </c>
      <c r="C42" s="12">
        <f>C52*0.05</f>
        <v>56099.12900000001</v>
      </c>
      <c r="D42" s="1"/>
      <c r="E42" s="15"/>
      <c r="F42" s="15"/>
      <c r="G42" s="15"/>
    </row>
    <row r="43" spans="1:7" ht="25.5">
      <c r="A43" s="3" t="s">
        <v>44</v>
      </c>
      <c r="B43" s="3" t="s">
        <v>135</v>
      </c>
      <c r="C43" s="11"/>
      <c r="D43" s="1"/>
      <c r="E43" s="15"/>
      <c r="F43" s="15"/>
      <c r="G43" s="15"/>
    </row>
    <row r="44" spans="1:7" ht="25.5">
      <c r="A44" s="3" t="s">
        <v>45</v>
      </c>
      <c r="B44" s="3" t="s">
        <v>46</v>
      </c>
      <c r="C44" s="12">
        <f>C52*0.043</f>
        <v>48245.25094</v>
      </c>
      <c r="D44" s="1"/>
      <c r="E44" s="15"/>
      <c r="F44" s="15"/>
      <c r="G44" s="15"/>
    </row>
    <row r="45" spans="1:7" ht="38.25">
      <c r="A45" s="3" t="s">
        <v>47</v>
      </c>
      <c r="B45" s="3" t="s">
        <v>20</v>
      </c>
      <c r="C45" s="12">
        <f>C52*0.033</f>
        <v>37025.42514000001</v>
      </c>
      <c r="D45" s="1"/>
      <c r="E45" s="15"/>
      <c r="F45" s="15"/>
      <c r="G45" s="15"/>
    </row>
    <row r="46" spans="1:7" ht="25.5">
      <c r="A46" s="3" t="s">
        <v>49</v>
      </c>
      <c r="B46" s="3" t="s">
        <v>150</v>
      </c>
      <c r="C46" s="12">
        <f>C52*0.002</f>
        <v>2243.96516</v>
      </c>
      <c r="D46" s="1"/>
      <c r="E46" s="15"/>
      <c r="F46" s="15"/>
      <c r="G46" s="15"/>
    </row>
    <row r="47" spans="1:7" ht="38.25">
      <c r="A47" s="31" t="s">
        <v>122</v>
      </c>
      <c r="B47" s="3" t="s">
        <v>53</v>
      </c>
      <c r="C47" s="12">
        <f>C52*0.198</f>
        <v>222152.55084</v>
      </c>
      <c r="D47" s="1"/>
      <c r="E47" s="15"/>
      <c r="F47" s="15"/>
      <c r="G47" s="15"/>
    </row>
    <row r="48" spans="1:7" ht="25.5">
      <c r="A48" s="3" t="s">
        <v>51</v>
      </c>
      <c r="B48" s="3" t="s">
        <v>36</v>
      </c>
      <c r="C48" s="12">
        <f>C52*0.1994</f>
        <v>223723.326452</v>
      </c>
      <c r="D48" s="1"/>
      <c r="E48" s="15"/>
      <c r="F48" s="15"/>
      <c r="G48" s="15"/>
    </row>
    <row r="49" spans="1:7" ht="12.75">
      <c r="A49" s="3" t="s">
        <v>52</v>
      </c>
      <c r="B49" s="3" t="s">
        <v>54</v>
      </c>
      <c r="C49" s="11"/>
      <c r="D49" s="1"/>
      <c r="E49" s="15"/>
      <c r="F49" s="15"/>
      <c r="G49" s="15"/>
    </row>
    <row r="50" spans="1:7" ht="12.75">
      <c r="A50" s="3" t="s">
        <v>85</v>
      </c>
      <c r="B50" s="3" t="s">
        <v>54</v>
      </c>
      <c r="C50" s="11"/>
      <c r="D50" s="1"/>
      <c r="E50" s="15"/>
      <c r="F50" s="15"/>
      <c r="G50" s="15"/>
    </row>
    <row r="51" spans="1:7" ht="25.5">
      <c r="A51" s="3" t="s">
        <v>55</v>
      </c>
      <c r="B51" s="3" t="s">
        <v>36</v>
      </c>
      <c r="C51" s="11"/>
      <c r="D51" s="1"/>
      <c r="E51" s="15"/>
      <c r="F51" s="15"/>
      <c r="G51" s="15"/>
    </row>
    <row r="52" spans="1:7" ht="12.75">
      <c r="A52" s="10" t="s">
        <v>56</v>
      </c>
      <c r="B52" s="10"/>
      <c r="C52" s="37">
        <v>1121982.58</v>
      </c>
      <c r="D52" s="1"/>
      <c r="E52" s="15"/>
      <c r="F52" s="38"/>
      <c r="G52" s="15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5" t="s">
        <v>58</v>
      </c>
      <c r="B59" s="5"/>
      <c r="C59" s="5"/>
      <c r="D59" s="1"/>
      <c r="E59" s="1"/>
      <c r="F59" s="1"/>
      <c r="G59" s="1"/>
    </row>
    <row r="60" spans="1:7" ht="12.75">
      <c r="A60" s="5" t="s">
        <v>147</v>
      </c>
      <c r="B60" s="5"/>
      <c r="C60" s="5"/>
      <c r="D60" s="1"/>
      <c r="E60" s="1"/>
      <c r="F60" s="1"/>
      <c r="G60" s="1"/>
    </row>
    <row r="61" spans="1:7" ht="12.75">
      <c r="A61" s="5" t="s">
        <v>59</v>
      </c>
      <c r="B61" s="5"/>
      <c r="C61" s="5"/>
      <c r="D61" s="1"/>
      <c r="E61" s="1"/>
      <c r="F61" s="1"/>
      <c r="G61" s="1"/>
    </row>
    <row r="62" spans="1:7" ht="12.75">
      <c r="A62" s="5" t="s">
        <v>60</v>
      </c>
      <c r="B62" s="5"/>
      <c r="C62" s="5"/>
      <c r="D62" s="1"/>
      <c r="E62" s="1"/>
      <c r="F62" s="1"/>
      <c r="G62" s="1"/>
    </row>
    <row r="63" spans="1:7" ht="12.75">
      <c r="A63" s="5" t="s">
        <v>61</v>
      </c>
      <c r="B63" s="4"/>
      <c r="C63" s="4"/>
      <c r="D63" s="1"/>
      <c r="E63" s="1"/>
      <c r="F63" s="1"/>
      <c r="G63" s="1"/>
    </row>
    <row r="64" spans="1:7" ht="12.75">
      <c r="A64" s="5" t="s">
        <v>62</v>
      </c>
      <c r="B64" s="4"/>
      <c r="C64" s="4"/>
      <c r="D64" s="1"/>
      <c r="E64" s="1"/>
      <c r="F64" s="1"/>
      <c r="G64" s="1"/>
    </row>
    <row r="65" spans="1:7" ht="12.75">
      <c r="A65" s="5" t="s">
        <v>63</v>
      </c>
      <c r="B65" s="4"/>
      <c r="C65" s="4"/>
      <c r="D65" s="1"/>
      <c r="E65" s="1"/>
      <c r="F65" s="1"/>
      <c r="G65" s="1"/>
    </row>
    <row r="66" spans="1:7" ht="12.75">
      <c r="A66" s="4"/>
      <c r="B66" s="4"/>
      <c r="C66" s="4"/>
      <c r="D66" s="1"/>
      <c r="E66" s="1"/>
      <c r="F66" s="1"/>
      <c r="G66" s="1"/>
    </row>
    <row r="67" spans="1:7" ht="12.75">
      <c r="A67" s="5"/>
      <c r="B67" s="4"/>
      <c r="C67" s="4"/>
      <c r="D67" s="1"/>
      <c r="E67" s="1"/>
      <c r="F67" s="1"/>
      <c r="G67" s="1"/>
    </row>
    <row r="68" spans="1:7" ht="12.75">
      <c r="A68" s="4"/>
      <c r="B68" s="4"/>
      <c r="C68" s="4"/>
      <c r="D68" s="1"/>
      <c r="E68" s="1"/>
      <c r="F68" s="1"/>
      <c r="G68" s="1"/>
    </row>
    <row r="69" spans="1:7" ht="12.75">
      <c r="A69" s="5" t="s">
        <v>71</v>
      </c>
      <c r="B69" s="5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4"/>
      <c r="B71" s="4"/>
      <c r="C71" s="4"/>
      <c r="D71" s="1"/>
      <c r="E71" s="1"/>
      <c r="F71" s="1"/>
      <c r="G71" s="1"/>
    </row>
    <row r="72" spans="1:7" ht="12.75">
      <c r="A72" s="4"/>
      <c r="B72" s="4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</sheetData>
  <mergeCells count="2">
    <mergeCell ref="A20:C20"/>
    <mergeCell ref="A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G111"/>
  <sheetViews>
    <sheetView workbookViewId="0" topLeftCell="A23">
      <selection activeCell="D44" sqref="D44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142</v>
      </c>
    </row>
    <row r="12" ht="12.75">
      <c r="A12" t="s">
        <v>80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1"/>
      <c r="E13" s="1"/>
      <c r="F13" s="1"/>
      <c r="G13" s="1"/>
    </row>
    <row r="14" spans="1:7" ht="12.75">
      <c r="A14" s="3" t="s">
        <v>1</v>
      </c>
      <c r="B14" s="12">
        <f>B18</f>
        <v>1514812</v>
      </c>
      <c r="C14" s="11">
        <v>228184.7</v>
      </c>
      <c r="D14" s="1"/>
      <c r="E14" s="1"/>
      <c r="F14" s="1"/>
      <c r="G14" s="1"/>
    </row>
    <row r="15" spans="1:7" ht="12.75">
      <c r="A15" s="3" t="s">
        <v>2</v>
      </c>
      <c r="B15" s="11">
        <f>B14-B17</f>
        <v>1514812</v>
      </c>
      <c r="C15" s="11">
        <f>C14-C17</f>
        <v>228184.7</v>
      </c>
      <c r="D15" s="1"/>
      <c r="E15" s="1"/>
      <c r="F15" s="1"/>
      <c r="G15" s="1"/>
    </row>
    <row r="16" spans="1:7" ht="12.75">
      <c r="A16" s="3" t="s">
        <v>3</v>
      </c>
      <c r="B16" s="11"/>
      <c r="C16" s="11"/>
      <c r="D16" s="1"/>
      <c r="E16" s="1"/>
      <c r="F16" s="1"/>
      <c r="G16" s="1"/>
    </row>
    <row r="17" spans="1:7" ht="12.75">
      <c r="A17" s="3" t="s">
        <v>4</v>
      </c>
      <c r="B17" s="11"/>
      <c r="C17" s="11">
        <v>0</v>
      </c>
      <c r="D17" s="1"/>
      <c r="E17" s="1"/>
      <c r="F17" s="1"/>
      <c r="G17" s="1"/>
    </row>
    <row r="18" spans="1:7" ht="12.75">
      <c r="A18" s="3" t="s">
        <v>5</v>
      </c>
      <c r="B18" s="12">
        <f>C56</f>
        <v>1514812</v>
      </c>
      <c r="C18" s="1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6.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 t="s">
        <v>10</v>
      </c>
      <c r="B23" s="3" t="s">
        <v>11</v>
      </c>
      <c r="C23" s="3" t="s">
        <v>12</v>
      </c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5" t="s">
        <v>13</v>
      </c>
      <c r="B25" s="5"/>
      <c r="C25" s="4"/>
      <c r="D25" s="1"/>
      <c r="E25" s="1"/>
      <c r="F25" s="1"/>
      <c r="G25" s="1"/>
    </row>
    <row r="26" spans="1:7" ht="12.75">
      <c r="A26" s="5" t="s">
        <v>14</v>
      </c>
      <c r="B26" s="5"/>
      <c r="C26" s="4"/>
      <c r="D26" s="1"/>
      <c r="E26" s="1"/>
      <c r="F26" s="1"/>
      <c r="G26" s="1"/>
    </row>
    <row r="27" spans="1:7" ht="25.5">
      <c r="A27" s="3" t="s">
        <v>15</v>
      </c>
      <c r="B27" s="3" t="s">
        <v>16</v>
      </c>
      <c r="C27" s="12">
        <f>C56*0.06</f>
        <v>90888.72</v>
      </c>
      <c r="D27" s="1"/>
      <c r="E27" s="1"/>
      <c r="F27" s="1"/>
      <c r="G27" s="1"/>
    </row>
    <row r="28" spans="1:7" ht="12.75">
      <c r="A28" s="3" t="s">
        <v>17</v>
      </c>
      <c r="B28" s="3" t="s">
        <v>18</v>
      </c>
      <c r="C28" s="12">
        <f>C56*0.015</f>
        <v>22722.18</v>
      </c>
      <c r="D28" s="1"/>
      <c r="E28" s="1"/>
      <c r="F28" s="1"/>
      <c r="G28" s="1"/>
    </row>
    <row r="29" spans="1:7" ht="12.75">
      <c r="A29" s="3" t="s">
        <v>19</v>
      </c>
      <c r="B29" s="3" t="s">
        <v>20</v>
      </c>
      <c r="C29" s="12"/>
      <c r="D29" s="1"/>
      <c r="E29" s="1"/>
      <c r="F29" s="1"/>
      <c r="G29" s="1"/>
    </row>
    <row r="30" spans="1:7" ht="12.75">
      <c r="A30" s="3" t="s">
        <v>21</v>
      </c>
      <c r="B30" s="3" t="s">
        <v>22</v>
      </c>
      <c r="C30" s="12">
        <f>C56*0.005</f>
        <v>7574.06</v>
      </c>
      <c r="D30" s="1"/>
      <c r="E30" s="1"/>
      <c r="F30" s="1"/>
      <c r="G30" s="1"/>
    </row>
    <row r="31" spans="1:7" ht="12.75">
      <c r="A31" s="3" t="s">
        <v>23</v>
      </c>
      <c r="B31" s="3" t="s">
        <v>24</v>
      </c>
      <c r="C31" s="12">
        <f>C56*0.01</f>
        <v>15148.12</v>
      </c>
      <c r="D31" s="1"/>
      <c r="E31" s="1"/>
      <c r="F31" s="1"/>
      <c r="G31" s="1"/>
    </row>
    <row r="32" spans="1:7" ht="12.75">
      <c r="A32" s="3" t="s">
        <v>25</v>
      </c>
      <c r="B32" s="3" t="s">
        <v>26</v>
      </c>
      <c r="C32" s="12">
        <f>C56*0.12</f>
        <v>181777.44</v>
      </c>
      <c r="D32" s="1"/>
      <c r="E32" s="1"/>
      <c r="F32" s="1"/>
      <c r="G32" s="1"/>
    </row>
    <row r="33" spans="1:7" ht="12.75">
      <c r="A33" s="70" t="s">
        <v>27</v>
      </c>
      <c r="B33" s="68" t="s">
        <v>28</v>
      </c>
      <c r="C33" s="50">
        <f>C56*0.0564</f>
        <v>85435.3968</v>
      </c>
      <c r="D33" s="1"/>
      <c r="E33" s="1"/>
      <c r="F33" s="1"/>
      <c r="G33" s="1"/>
    </row>
    <row r="34" spans="1:7" ht="12.75">
      <c r="A34" s="71"/>
      <c r="B34" s="69"/>
      <c r="C34" s="77"/>
      <c r="D34" s="1"/>
      <c r="E34" s="1"/>
      <c r="F34" s="1"/>
      <c r="G34" s="1"/>
    </row>
    <row r="35" spans="1:7" ht="25.5">
      <c r="A35" s="3" t="s">
        <v>29</v>
      </c>
      <c r="B35" s="3" t="s">
        <v>30</v>
      </c>
      <c r="C35" s="12">
        <f>C56*0.0285</f>
        <v>43172.142</v>
      </c>
      <c r="D35" s="1"/>
      <c r="E35" s="1"/>
      <c r="F35" s="1"/>
      <c r="G35" s="1"/>
    </row>
    <row r="36" spans="1:7" ht="38.25">
      <c r="A36" s="3" t="s">
        <v>31</v>
      </c>
      <c r="B36" s="3" t="s">
        <v>30</v>
      </c>
      <c r="C36" s="12">
        <f>C56*0.026</f>
        <v>39385.112</v>
      </c>
      <c r="D36" s="1"/>
      <c r="E36" s="1"/>
      <c r="F36" s="1"/>
      <c r="G36" s="1"/>
    </row>
    <row r="37" spans="1:7" ht="25.5">
      <c r="A37" s="3" t="s">
        <v>32</v>
      </c>
      <c r="B37" s="3" t="s">
        <v>33</v>
      </c>
      <c r="C37" s="12">
        <f>C56*0.002</f>
        <v>3029.6240000000003</v>
      </c>
      <c r="D37" s="1"/>
      <c r="E37" s="1"/>
      <c r="F37" s="1"/>
      <c r="G37" s="1"/>
    </row>
    <row r="38" spans="1:7" ht="38.25">
      <c r="A38" s="3" t="s">
        <v>50</v>
      </c>
      <c r="B38" s="3" t="s">
        <v>34</v>
      </c>
      <c r="C38" s="12">
        <f>C56*0.009</f>
        <v>13633.307999999999</v>
      </c>
      <c r="D38" s="1"/>
      <c r="E38" s="1"/>
      <c r="F38" s="1"/>
      <c r="G38" s="1"/>
    </row>
    <row r="39" spans="1:7" ht="25.5">
      <c r="A39" s="3" t="s">
        <v>35</v>
      </c>
      <c r="B39" s="3" t="s">
        <v>36</v>
      </c>
      <c r="C39" s="12">
        <f>C56*0.0111</f>
        <v>16814.4132</v>
      </c>
      <c r="D39" s="1"/>
      <c r="E39" s="1"/>
      <c r="F39" s="1"/>
      <c r="G39" s="1"/>
    </row>
    <row r="40" spans="1:7" ht="25.5">
      <c r="A40" s="3" t="s">
        <v>37</v>
      </c>
      <c r="B40" s="3" t="s">
        <v>133</v>
      </c>
      <c r="C40" s="12">
        <f>C56*0.004</f>
        <v>6059.2480000000005</v>
      </c>
      <c r="D40" s="1"/>
      <c r="E40" s="1"/>
      <c r="F40" s="1"/>
      <c r="G40" s="1"/>
    </row>
    <row r="41" spans="1:7" ht="12.75">
      <c r="A41" s="3" t="s">
        <v>38</v>
      </c>
      <c r="B41" s="3" t="s">
        <v>36</v>
      </c>
      <c r="C41" s="12">
        <f>C56*0.074</f>
        <v>112096.08799999999</v>
      </c>
      <c r="D41" s="1"/>
      <c r="E41" s="1"/>
      <c r="F41" s="1"/>
      <c r="G41" s="1"/>
    </row>
    <row r="42" spans="1:7" ht="25.5">
      <c r="A42" s="3" t="s">
        <v>40</v>
      </c>
      <c r="B42" s="3" t="s">
        <v>39</v>
      </c>
      <c r="C42" s="12">
        <f>C56*0.02</f>
        <v>30296.24</v>
      </c>
      <c r="D42" s="1"/>
      <c r="E42" s="1"/>
      <c r="F42" s="1"/>
      <c r="G42" s="1"/>
    </row>
    <row r="43" spans="1:7" ht="38.25">
      <c r="A43" s="3" t="s">
        <v>41</v>
      </c>
      <c r="B43" s="3" t="s">
        <v>42</v>
      </c>
      <c r="C43" s="12">
        <f>C56*0.01</f>
        <v>15148.12</v>
      </c>
      <c r="D43" s="1"/>
      <c r="E43" s="1"/>
      <c r="F43" s="1"/>
      <c r="G43" s="1"/>
    </row>
    <row r="44" spans="1:7" ht="25.5">
      <c r="A44" s="33" t="s">
        <v>143</v>
      </c>
      <c r="B44" s="3" t="s">
        <v>26</v>
      </c>
      <c r="C44" s="12">
        <f>C56*0.0236</f>
        <v>35749.5632</v>
      </c>
      <c r="D44" s="1"/>
      <c r="E44" s="1"/>
      <c r="F44" s="1"/>
      <c r="G44" s="1"/>
    </row>
    <row r="45" spans="1:7" ht="25.5">
      <c r="A45" s="33" t="s">
        <v>118</v>
      </c>
      <c r="B45" s="3" t="s">
        <v>43</v>
      </c>
      <c r="C45" s="12">
        <f>C56*0.05</f>
        <v>75740.6</v>
      </c>
      <c r="D45" s="1"/>
      <c r="E45" s="1"/>
      <c r="F45" s="1"/>
      <c r="G45" s="1"/>
    </row>
    <row r="46" spans="1:7" ht="25.5">
      <c r="A46" s="3" t="s">
        <v>44</v>
      </c>
      <c r="B46" s="3" t="s">
        <v>144</v>
      </c>
      <c r="C46" s="11"/>
      <c r="D46" s="1"/>
      <c r="E46" s="1"/>
      <c r="F46" s="1"/>
      <c r="G46" s="1"/>
    </row>
    <row r="47" spans="1:7" ht="25.5">
      <c r="A47" s="3" t="s">
        <v>45</v>
      </c>
      <c r="B47" s="3" t="s">
        <v>46</v>
      </c>
      <c r="C47" s="12">
        <f>C56*0.043</f>
        <v>65136.916</v>
      </c>
      <c r="D47" s="1"/>
      <c r="E47" s="1"/>
      <c r="F47" s="1"/>
      <c r="G47" s="1"/>
    </row>
    <row r="48" spans="1:7" ht="38.25">
      <c r="A48" s="3" t="s">
        <v>47</v>
      </c>
      <c r="B48" s="3" t="s">
        <v>20</v>
      </c>
      <c r="C48" s="12">
        <f>C56*0.03</f>
        <v>45444.36</v>
      </c>
      <c r="D48" s="1"/>
      <c r="E48" s="1"/>
      <c r="F48" s="1"/>
      <c r="G48" s="1"/>
    </row>
    <row r="49" spans="1:7" ht="25.5">
      <c r="A49" s="3" t="s">
        <v>48</v>
      </c>
      <c r="B49" s="3" t="s">
        <v>42</v>
      </c>
      <c r="C49" s="12">
        <f>C56*0.003</f>
        <v>4544.436</v>
      </c>
      <c r="D49" s="1"/>
      <c r="E49" s="1"/>
      <c r="F49" s="1"/>
      <c r="G49" s="1"/>
    </row>
    <row r="50" spans="1:7" ht="25.5">
      <c r="A50" s="3" t="s">
        <v>49</v>
      </c>
      <c r="B50" s="3" t="s">
        <v>139</v>
      </c>
      <c r="C50" s="12">
        <f>C56*0.002</f>
        <v>3029.6240000000003</v>
      </c>
      <c r="D50" s="1"/>
      <c r="E50" s="1"/>
      <c r="F50" s="1"/>
      <c r="G50" s="1"/>
    </row>
    <row r="51" spans="1:7" ht="38.25">
      <c r="A51" s="31" t="s">
        <v>122</v>
      </c>
      <c r="B51" s="3" t="s">
        <v>53</v>
      </c>
      <c r="C51" s="12">
        <f>C56*0.198</f>
        <v>299932.776</v>
      </c>
      <c r="D51" s="1"/>
      <c r="E51" s="1"/>
      <c r="F51" s="1"/>
      <c r="G51" s="1"/>
    </row>
    <row r="52" spans="1:7" ht="25.5">
      <c r="A52" s="3" t="s">
        <v>51</v>
      </c>
      <c r="B52" s="3" t="s">
        <v>36</v>
      </c>
      <c r="C52" s="12">
        <f>C56*0.1994</f>
        <v>302053.51279999997</v>
      </c>
      <c r="D52" s="1"/>
      <c r="E52" s="1"/>
      <c r="F52" s="1"/>
      <c r="G52" s="1"/>
    </row>
    <row r="53" spans="1:7" ht="12.75">
      <c r="A53" s="3" t="s">
        <v>52</v>
      </c>
      <c r="B53" s="3" t="s">
        <v>54</v>
      </c>
      <c r="C53" s="11"/>
      <c r="D53" s="1"/>
      <c r="E53" s="1"/>
      <c r="F53" s="1"/>
      <c r="G53" s="1"/>
    </row>
    <row r="54" spans="1:7" ht="12.75">
      <c r="A54" s="3" t="s">
        <v>85</v>
      </c>
      <c r="B54" s="3" t="s">
        <v>54</v>
      </c>
      <c r="C54" s="11"/>
      <c r="D54" s="1"/>
      <c r="E54" s="1"/>
      <c r="F54" s="1"/>
      <c r="G54" s="1"/>
    </row>
    <row r="55" spans="1:7" ht="25.5">
      <c r="A55" s="3" t="s">
        <v>55</v>
      </c>
      <c r="B55" s="3" t="s">
        <v>36</v>
      </c>
      <c r="C55" s="11"/>
      <c r="D55" s="1"/>
      <c r="E55" s="1"/>
      <c r="F55" s="1"/>
      <c r="G55" s="1"/>
    </row>
    <row r="56" spans="1:7" ht="12.75">
      <c r="A56" s="10" t="s">
        <v>56</v>
      </c>
      <c r="B56" s="10"/>
      <c r="C56" s="13">
        <v>1514812</v>
      </c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5" t="s">
        <v>58</v>
      </c>
      <c r="B63" s="5"/>
      <c r="C63" s="5"/>
      <c r="D63" s="1"/>
      <c r="E63" s="1"/>
      <c r="F63" s="1"/>
      <c r="G63" s="1"/>
    </row>
    <row r="64" spans="1:7" ht="12.75">
      <c r="A64" s="5" t="s">
        <v>88</v>
      </c>
      <c r="B64" s="5"/>
      <c r="C64" s="5"/>
      <c r="D64" s="1"/>
      <c r="E64" s="1"/>
      <c r="F64" s="1"/>
      <c r="G64" s="1"/>
    </row>
    <row r="65" spans="1:7" ht="12.75">
      <c r="A65" s="5" t="s">
        <v>59</v>
      </c>
      <c r="B65" s="5"/>
      <c r="C65" s="5"/>
      <c r="D65" s="1"/>
      <c r="E65" s="1"/>
      <c r="F65" s="1"/>
      <c r="G65" s="1"/>
    </row>
    <row r="66" spans="1:7" ht="12.75">
      <c r="A66" s="5" t="s">
        <v>134</v>
      </c>
      <c r="B66" s="5"/>
      <c r="C66" s="5"/>
      <c r="D66" s="1"/>
      <c r="E66" s="1"/>
      <c r="F66" s="1"/>
      <c r="G66" s="1"/>
    </row>
    <row r="67" spans="1:7" ht="12.75">
      <c r="A67" s="5" t="s">
        <v>61</v>
      </c>
      <c r="B67" s="4"/>
      <c r="C67" s="4"/>
      <c r="D67" s="1"/>
      <c r="E67" s="1"/>
      <c r="F67" s="1"/>
      <c r="G67" s="1"/>
    </row>
    <row r="68" spans="1:7" ht="12.75">
      <c r="A68" s="5" t="s">
        <v>62</v>
      </c>
      <c r="B68" s="4"/>
      <c r="C68" s="4"/>
      <c r="D68" s="1"/>
      <c r="E68" s="1"/>
      <c r="F68" s="1"/>
      <c r="G68" s="1"/>
    </row>
    <row r="69" spans="1:7" ht="12.75">
      <c r="A69" s="5" t="s">
        <v>63</v>
      </c>
      <c r="B69" s="4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5"/>
      <c r="B71" s="4"/>
      <c r="C71" s="4"/>
      <c r="D71" s="1"/>
      <c r="E71" s="1"/>
      <c r="F71" s="1"/>
      <c r="G71" s="1"/>
    </row>
    <row r="72" spans="1:7" ht="12.75">
      <c r="A72" s="5" t="s">
        <v>71</v>
      </c>
      <c r="B72" s="5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4"/>
      <c r="B77" s="4"/>
      <c r="C77" s="4"/>
      <c r="D77" s="1"/>
      <c r="E77" s="1"/>
      <c r="F77" s="1"/>
      <c r="G77" s="1"/>
    </row>
    <row r="78" spans="1:7" ht="12.75">
      <c r="A78" s="4"/>
      <c r="B78" s="4"/>
      <c r="C78" s="4"/>
      <c r="D78" s="1"/>
      <c r="E78" s="1"/>
      <c r="F78" s="1"/>
      <c r="G78" s="1"/>
    </row>
    <row r="79" spans="1:7" ht="12.75">
      <c r="A79" s="4"/>
      <c r="B79" s="4"/>
      <c r="C79" s="4"/>
      <c r="D79" s="1"/>
      <c r="E79" s="1"/>
      <c r="F79" s="1"/>
      <c r="G79" s="1"/>
    </row>
    <row r="80" spans="1:7" ht="12.75">
      <c r="A80" s="4"/>
      <c r="B80" s="4"/>
      <c r="C80" s="4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</sheetData>
  <mergeCells count="5">
    <mergeCell ref="A20:C20"/>
    <mergeCell ref="A21:C21"/>
    <mergeCell ref="A33:A34"/>
    <mergeCell ref="B33:B34"/>
    <mergeCell ref="C33:C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108"/>
  <sheetViews>
    <sheetView workbookViewId="0" topLeftCell="A21">
      <selection activeCell="F38" sqref="F38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75</v>
      </c>
    </row>
    <row r="12" ht="12.75">
      <c r="A12" t="s">
        <v>76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1"/>
      <c r="E13" s="1"/>
      <c r="F13" s="1"/>
      <c r="G13" s="1"/>
    </row>
    <row r="14" spans="1:7" ht="12.75">
      <c r="A14" s="3" t="s">
        <v>1</v>
      </c>
      <c r="B14" s="11">
        <v>130675.9</v>
      </c>
      <c r="C14" s="11">
        <f>17923.16+40077.6+28404</f>
        <v>86404.76</v>
      </c>
      <c r="D14" s="1"/>
      <c r="E14" s="1"/>
      <c r="F14" s="1"/>
      <c r="G14" s="1"/>
    </row>
    <row r="15" spans="1:7" ht="12.75">
      <c r="A15" s="3" t="s">
        <v>2</v>
      </c>
      <c r="B15" s="11">
        <f>B14-B17</f>
        <v>119786.23999999999</v>
      </c>
      <c r="C15" s="11">
        <f>C14-C17</f>
        <v>81004.76</v>
      </c>
      <c r="D15" s="1"/>
      <c r="E15" s="1"/>
      <c r="F15" s="1"/>
      <c r="G15" s="1"/>
    </row>
    <row r="16" spans="1:7" ht="12.75">
      <c r="A16" s="3" t="s">
        <v>3</v>
      </c>
      <c r="B16" s="11"/>
      <c r="C16" s="11"/>
      <c r="D16" s="1"/>
      <c r="E16" s="1"/>
      <c r="F16" s="1"/>
      <c r="G16" s="1"/>
    </row>
    <row r="17" spans="1:7" ht="12.75">
      <c r="A17" s="3" t="s">
        <v>4</v>
      </c>
      <c r="B17" s="11">
        <v>10889.66</v>
      </c>
      <c r="C17" s="11">
        <v>5400</v>
      </c>
      <c r="D17" s="1"/>
      <c r="E17" s="1"/>
      <c r="F17" s="1"/>
      <c r="G17" s="1"/>
    </row>
    <row r="18" spans="1:7" ht="12.75">
      <c r="A18" s="3" t="s">
        <v>5</v>
      </c>
      <c r="B18" s="12">
        <f>C53+C56</f>
        <v>240307.41499999998</v>
      </c>
      <c r="C18" s="1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6.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 t="s">
        <v>10</v>
      </c>
      <c r="B23" s="3" t="s">
        <v>11</v>
      </c>
      <c r="C23" s="3" t="s">
        <v>12</v>
      </c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5" t="s">
        <v>13</v>
      </c>
      <c r="B25" s="5"/>
      <c r="C25" s="4"/>
      <c r="D25" s="1"/>
      <c r="E25" s="1"/>
      <c r="F25" s="1"/>
      <c r="G25" s="1"/>
    </row>
    <row r="26" spans="1:7" ht="12.75">
      <c r="A26" s="5" t="s">
        <v>14</v>
      </c>
      <c r="B26" s="5"/>
      <c r="C26" s="4"/>
      <c r="D26" s="1"/>
      <c r="E26" s="1"/>
      <c r="F26" s="1"/>
      <c r="G26" s="1"/>
    </row>
    <row r="27" spans="1:7" ht="25.5">
      <c r="A27" s="3" t="s">
        <v>15</v>
      </c>
      <c r="B27" s="3" t="s">
        <v>16</v>
      </c>
      <c r="C27" s="12">
        <f>5397.6*1.82</f>
        <v>9823.632000000001</v>
      </c>
      <c r="D27" s="1"/>
      <c r="E27" s="1"/>
      <c r="F27" s="1"/>
      <c r="G27" s="1"/>
    </row>
    <row r="28" spans="1:7" ht="12.75">
      <c r="A28" s="3" t="s">
        <v>17</v>
      </c>
      <c r="B28" s="3" t="s">
        <v>18</v>
      </c>
      <c r="C28" s="12">
        <f>5397.6*0.46</f>
        <v>2482.896</v>
      </c>
      <c r="D28" s="1"/>
      <c r="E28" s="1"/>
      <c r="F28" s="1"/>
      <c r="G28" s="1"/>
    </row>
    <row r="29" spans="1:7" ht="12.75">
      <c r="A29" s="3" t="s">
        <v>19</v>
      </c>
      <c r="B29" s="3" t="s">
        <v>20</v>
      </c>
      <c r="C29" s="12"/>
      <c r="D29" s="1"/>
      <c r="E29" s="1"/>
      <c r="F29" s="1"/>
      <c r="G29" s="1"/>
    </row>
    <row r="30" spans="1:7" ht="12.75">
      <c r="A30" s="3" t="s">
        <v>21</v>
      </c>
      <c r="B30" s="3" t="s">
        <v>22</v>
      </c>
      <c r="C30" s="12">
        <f>5397.6*0.16</f>
        <v>863.6160000000001</v>
      </c>
      <c r="D30" s="1"/>
      <c r="E30" s="1"/>
      <c r="F30" s="1"/>
      <c r="G30" s="1"/>
    </row>
    <row r="31" spans="1:7" ht="12.75">
      <c r="A31" s="3" t="s">
        <v>23</v>
      </c>
      <c r="B31" s="3" t="s">
        <v>24</v>
      </c>
      <c r="C31" s="12">
        <f>5397.6*0.18</f>
        <v>971.568</v>
      </c>
      <c r="D31" s="1"/>
      <c r="E31" s="1"/>
      <c r="F31" s="1"/>
      <c r="G31" s="1"/>
    </row>
    <row r="32" spans="1:7" ht="12.75">
      <c r="A32" s="3" t="s">
        <v>25</v>
      </c>
      <c r="B32" s="3" t="s">
        <v>26</v>
      </c>
      <c r="C32" s="12">
        <f>(5397.6*0.14)+1364.34</f>
        <v>2120.004</v>
      </c>
      <c r="D32" s="1"/>
      <c r="E32" s="1"/>
      <c r="F32" s="1"/>
      <c r="G32" s="1"/>
    </row>
    <row r="33" spans="1:7" ht="25.5" customHeight="1">
      <c r="A33" s="68" t="s">
        <v>27</v>
      </c>
      <c r="B33" s="70" t="s">
        <v>28</v>
      </c>
      <c r="C33" s="12">
        <f>5397.6*1.64</f>
        <v>8852.064</v>
      </c>
      <c r="D33" s="1"/>
      <c r="E33" s="1"/>
      <c r="F33" s="1"/>
      <c r="G33" s="1"/>
    </row>
    <row r="34" spans="1:7" ht="12.75">
      <c r="A34" s="69"/>
      <c r="B34" s="71"/>
      <c r="C34" s="12">
        <v>7449.13</v>
      </c>
      <c r="D34" s="1"/>
      <c r="E34" s="1"/>
      <c r="F34" s="1"/>
      <c r="G34" s="1"/>
    </row>
    <row r="35" spans="1:7" ht="25.5">
      <c r="A35" s="3" t="s">
        <v>29</v>
      </c>
      <c r="B35" s="3" t="s">
        <v>30</v>
      </c>
      <c r="C35" s="12">
        <f>5397.6*0.78</f>
        <v>4210.128000000001</v>
      </c>
      <c r="D35" s="1"/>
      <c r="E35" s="1"/>
      <c r="F35" s="1"/>
      <c r="G35" s="1"/>
    </row>
    <row r="36" spans="1:7" ht="38.25">
      <c r="A36" s="3" t="s">
        <v>31</v>
      </c>
      <c r="B36" s="3" t="s">
        <v>30</v>
      </c>
      <c r="C36" s="12">
        <f>5397.6*0.78</f>
        <v>4210.128000000001</v>
      </c>
      <c r="D36" s="1"/>
      <c r="E36" s="1"/>
      <c r="F36" s="1"/>
      <c r="G36" s="1"/>
    </row>
    <row r="37" spans="1:7" ht="25.5">
      <c r="A37" s="3" t="s">
        <v>32</v>
      </c>
      <c r="B37" s="3" t="s">
        <v>33</v>
      </c>
      <c r="C37" s="12">
        <f>5397.5*0.05</f>
        <v>269.875</v>
      </c>
      <c r="D37" s="1"/>
      <c r="E37" s="1"/>
      <c r="F37" s="1"/>
      <c r="G37" s="1"/>
    </row>
    <row r="38" spans="1:7" ht="38.25">
      <c r="A38" s="3" t="s">
        <v>50</v>
      </c>
      <c r="B38" s="3" t="s">
        <v>34</v>
      </c>
      <c r="C38" s="12">
        <f>0.07*5397.6</f>
        <v>377.83200000000005</v>
      </c>
      <c r="D38" s="1"/>
      <c r="E38" s="1"/>
      <c r="F38" s="1"/>
      <c r="G38" s="1"/>
    </row>
    <row r="39" spans="1:7" ht="25.5">
      <c r="A39" s="3" t="s">
        <v>35</v>
      </c>
      <c r="B39" s="3" t="s">
        <v>36</v>
      </c>
      <c r="C39" s="12">
        <f>5397.6*0.34</f>
        <v>1835.1840000000002</v>
      </c>
      <c r="D39" s="1"/>
      <c r="E39" s="1"/>
      <c r="F39" s="1"/>
      <c r="G39" s="1"/>
    </row>
    <row r="40" spans="1:7" ht="25.5">
      <c r="A40" s="3" t="s">
        <v>37</v>
      </c>
      <c r="B40" s="3" t="s">
        <v>98</v>
      </c>
      <c r="C40" s="12">
        <f>5397.6*0.11</f>
        <v>593.736</v>
      </c>
      <c r="D40" s="1"/>
      <c r="E40" s="1"/>
      <c r="F40" s="1"/>
      <c r="G40" s="1"/>
    </row>
    <row r="41" spans="1:7" ht="12.75">
      <c r="A41" s="3" t="s">
        <v>38</v>
      </c>
      <c r="B41" s="3" t="s">
        <v>36</v>
      </c>
      <c r="C41" s="12">
        <f>5397.6*5</f>
        <v>26988</v>
      </c>
      <c r="D41" s="1"/>
      <c r="E41" s="1"/>
      <c r="F41" s="1"/>
      <c r="G41" s="1"/>
    </row>
    <row r="42" spans="1:7" ht="38.25">
      <c r="A42" s="3" t="s">
        <v>129</v>
      </c>
      <c r="B42" s="3" t="s">
        <v>26</v>
      </c>
      <c r="C42" s="12">
        <f>5397.8*1.31</f>
        <v>7071.118</v>
      </c>
      <c r="D42" s="1"/>
      <c r="E42" s="1"/>
      <c r="F42" s="1"/>
      <c r="G42" s="1"/>
    </row>
    <row r="43" spans="1:7" ht="25.5">
      <c r="A43" s="3" t="s">
        <v>130</v>
      </c>
      <c r="B43" s="3" t="s">
        <v>43</v>
      </c>
      <c r="C43" s="12">
        <f>5397.6*1.53</f>
        <v>8258.328000000001</v>
      </c>
      <c r="D43" s="1"/>
      <c r="E43" s="1"/>
      <c r="F43" s="1"/>
      <c r="G43" s="1"/>
    </row>
    <row r="44" spans="1:7" ht="25.5">
      <c r="A44" s="3" t="s">
        <v>44</v>
      </c>
      <c r="B44" s="3" t="s">
        <v>106</v>
      </c>
      <c r="C44" s="12"/>
      <c r="D44" s="1"/>
      <c r="E44" s="1"/>
      <c r="F44" s="1"/>
      <c r="G44" s="1"/>
    </row>
    <row r="45" spans="1:7" ht="25.5">
      <c r="A45" s="3" t="s">
        <v>45</v>
      </c>
      <c r="B45" s="3" t="s">
        <v>46</v>
      </c>
      <c r="C45" s="12">
        <f>5397.6*0.72</f>
        <v>3886.272</v>
      </c>
      <c r="D45" s="1"/>
      <c r="E45" s="1"/>
      <c r="F45" s="1"/>
      <c r="G45" s="1"/>
    </row>
    <row r="46" spans="1:7" ht="38.25">
      <c r="A46" s="3" t="s">
        <v>47</v>
      </c>
      <c r="B46" s="3" t="s">
        <v>20</v>
      </c>
      <c r="C46" s="12">
        <f>5397.6*0.36</f>
        <v>1943.136</v>
      </c>
      <c r="D46" s="1"/>
      <c r="E46" s="1"/>
      <c r="F46" s="1"/>
      <c r="G46" s="1"/>
    </row>
    <row r="47" spans="1:7" ht="25.5">
      <c r="A47" s="3" t="s">
        <v>49</v>
      </c>
      <c r="B47" s="3" t="s">
        <v>139</v>
      </c>
      <c r="C47" s="12">
        <v>119.84</v>
      </c>
      <c r="D47" s="1"/>
      <c r="E47" s="1"/>
      <c r="F47" s="1"/>
      <c r="G47" s="1"/>
    </row>
    <row r="48" spans="1:7" ht="38.25">
      <c r="A48" s="31" t="s">
        <v>122</v>
      </c>
      <c r="B48" s="3" t="s">
        <v>53</v>
      </c>
      <c r="C48" s="12">
        <f>5397.6*19.77</f>
        <v>106710.55200000001</v>
      </c>
      <c r="D48" s="1"/>
      <c r="E48" s="1"/>
      <c r="F48" s="1"/>
      <c r="G48" s="1"/>
    </row>
    <row r="49" spans="1:7" ht="25.5">
      <c r="A49" s="3" t="s">
        <v>51</v>
      </c>
      <c r="B49" s="3" t="s">
        <v>36</v>
      </c>
      <c r="C49" s="12">
        <f>5397.6*5.26</f>
        <v>28391.376</v>
      </c>
      <c r="D49" s="1"/>
      <c r="E49" s="1"/>
      <c r="F49" s="1"/>
      <c r="G49" s="1"/>
    </row>
    <row r="50" spans="1:7" ht="12.75">
      <c r="A50" s="3" t="s">
        <v>52</v>
      </c>
      <c r="B50" s="3" t="s">
        <v>54</v>
      </c>
      <c r="C50" s="12"/>
      <c r="D50" s="1"/>
      <c r="E50" s="1"/>
      <c r="F50" s="1"/>
      <c r="G50" s="1"/>
    </row>
    <row r="51" spans="1:7" ht="12.75">
      <c r="A51" s="3" t="s">
        <v>85</v>
      </c>
      <c r="B51" s="3" t="s">
        <v>54</v>
      </c>
      <c r="C51" s="12"/>
      <c r="D51" s="1"/>
      <c r="E51" s="1"/>
      <c r="F51" s="1"/>
      <c r="G51" s="1"/>
    </row>
    <row r="52" spans="1:7" ht="25.5">
      <c r="A52" s="3" t="s">
        <v>55</v>
      </c>
      <c r="B52" s="3" t="s">
        <v>36</v>
      </c>
      <c r="C52" s="12"/>
      <c r="D52" s="1"/>
      <c r="E52" s="1"/>
      <c r="F52" s="1"/>
      <c r="G52" s="1"/>
    </row>
    <row r="53" spans="1:7" ht="12.75">
      <c r="A53" s="10" t="s">
        <v>56</v>
      </c>
      <c r="B53" s="10"/>
      <c r="C53" s="13">
        <f>SUM(C27:C52)</f>
        <v>227428.41499999998</v>
      </c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3" t="s">
        <v>57</v>
      </c>
      <c r="B55" s="3"/>
      <c r="C55" s="3"/>
      <c r="D55" s="1"/>
      <c r="E55" s="1"/>
      <c r="F55" s="1"/>
      <c r="G55" s="1"/>
    </row>
    <row r="56" spans="1:7" ht="12.75">
      <c r="A56" s="3" t="s">
        <v>128</v>
      </c>
      <c r="B56" s="3" t="s">
        <v>108</v>
      </c>
      <c r="C56" s="11">
        <v>12879</v>
      </c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5" t="s">
        <v>58</v>
      </c>
      <c r="B60" s="5"/>
      <c r="C60" s="5"/>
      <c r="D60" s="1"/>
      <c r="E60" s="1"/>
      <c r="F60" s="1"/>
      <c r="G60" s="1"/>
    </row>
    <row r="61" spans="1:7" ht="12.75">
      <c r="A61" s="5" t="s">
        <v>88</v>
      </c>
      <c r="B61" s="5"/>
      <c r="C61" s="5"/>
      <c r="D61" s="1"/>
      <c r="E61" s="1"/>
      <c r="F61" s="1"/>
      <c r="G61" s="1"/>
    </row>
    <row r="62" spans="1:7" ht="12.75">
      <c r="A62" s="5" t="s">
        <v>59</v>
      </c>
      <c r="B62" s="5"/>
      <c r="C62" s="5"/>
      <c r="D62" s="1"/>
      <c r="E62" s="1"/>
      <c r="F62" s="1"/>
      <c r="G62" s="1"/>
    </row>
    <row r="63" spans="1:7" ht="12.75">
      <c r="A63" s="5" t="s">
        <v>89</v>
      </c>
      <c r="B63" s="5"/>
      <c r="C63" s="5"/>
      <c r="D63" s="1"/>
      <c r="E63" s="1"/>
      <c r="F63" s="1"/>
      <c r="G63" s="1"/>
    </row>
    <row r="64" spans="1:7" ht="12.75">
      <c r="A64" s="5" t="s">
        <v>61</v>
      </c>
      <c r="B64" s="4"/>
      <c r="C64" s="4"/>
      <c r="D64" s="1"/>
      <c r="E64" s="1"/>
      <c r="F64" s="1"/>
      <c r="G64" s="1"/>
    </row>
    <row r="65" spans="1:7" ht="12.75">
      <c r="A65" s="5" t="s">
        <v>62</v>
      </c>
      <c r="B65" s="4"/>
      <c r="C65" s="4"/>
      <c r="D65" s="1"/>
      <c r="E65" s="1"/>
      <c r="F65" s="1"/>
      <c r="G65" s="1"/>
    </row>
    <row r="66" spans="1:7" ht="12.75">
      <c r="A66" s="5" t="s">
        <v>63</v>
      </c>
      <c r="B66" s="4"/>
      <c r="C66" s="4"/>
      <c r="D66" s="1"/>
      <c r="E66" s="1"/>
      <c r="F66" s="1"/>
      <c r="G66" s="1"/>
    </row>
    <row r="67" spans="1:7" ht="12.75">
      <c r="A67" s="4"/>
      <c r="B67" s="4"/>
      <c r="C67" s="4"/>
      <c r="D67" s="1"/>
      <c r="E67" s="1"/>
      <c r="F67" s="1"/>
      <c r="G67" s="1"/>
    </row>
    <row r="68" spans="1:7" ht="12.75">
      <c r="A68" s="5"/>
      <c r="B68" s="4"/>
      <c r="C68" s="4"/>
      <c r="D68" s="1"/>
      <c r="E68" s="1"/>
      <c r="F68" s="1"/>
      <c r="G68" s="1"/>
    </row>
    <row r="69" spans="1:7" ht="12.75">
      <c r="A69" s="4"/>
      <c r="B69" s="4"/>
      <c r="C69" s="4"/>
      <c r="D69" s="1"/>
      <c r="E69" s="1"/>
      <c r="F69" s="1"/>
      <c r="G69" s="1"/>
    </row>
    <row r="70" spans="1:7" ht="12.75">
      <c r="A70" s="5" t="s">
        <v>71</v>
      </c>
      <c r="B70" s="5"/>
      <c r="C70" s="4"/>
      <c r="D70" s="1"/>
      <c r="E70" s="1"/>
      <c r="F70" s="1"/>
      <c r="G70" s="1"/>
    </row>
    <row r="71" spans="1:7" ht="12.75">
      <c r="A71" s="4"/>
      <c r="B71" s="4"/>
      <c r="C71" s="4"/>
      <c r="D71" s="1"/>
      <c r="E71" s="1"/>
      <c r="F71" s="1"/>
      <c r="G71" s="1"/>
    </row>
    <row r="72" spans="1:7" ht="12.75">
      <c r="A72" s="4"/>
      <c r="B72" s="4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4"/>
      <c r="B77" s="4"/>
      <c r="C77" s="4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</sheetData>
  <mergeCells count="4">
    <mergeCell ref="A20:C20"/>
    <mergeCell ref="A21:C21"/>
    <mergeCell ref="A33:A34"/>
    <mergeCell ref="B33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G108"/>
  <sheetViews>
    <sheetView workbookViewId="0" topLeftCell="A19">
      <selection activeCell="G36" sqref="G36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140</v>
      </c>
    </row>
    <row r="12" ht="12.75">
      <c r="A12" t="s">
        <v>141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1"/>
      <c r="E13" s="1"/>
      <c r="F13" s="1"/>
      <c r="G13" s="1"/>
    </row>
    <row r="14" spans="1:7" ht="12.75">
      <c r="A14" s="3" t="s">
        <v>1</v>
      </c>
      <c r="B14" s="12">
        <f>B18</f>
        <v>1520424</v>
      </c>
      <c r="C14" s="11">
        <v>435059.6</v>
      </c>
      <c r="D14" s="1"/>
      <c r="E14" s="1"/>
      <c r="F14" s="1"/>
      <c r="G14" s="1"/>
    </row>
    <row r="15" spans="1:7" ht="12.75">
      <c r="A15" s="3" t="s">
        <v>2</v>
      </c>
      <c r="B15" s="12">
        <f>B14-B17</f>
        <v>1520424</v>
      </c>
      <c r="C15" s="11">
        <f>C14-C17</f>
        <v>435059.6</v>
      </c>
      <c r="D15" s="1"/>
      <c r="E15" s="1"/>
      <c r="F15" s="1"/>
      <c r="G15" s="1"/>
    </row>
    <row r="16" spans="1:7" ht="12.75">
      <c r="A16" s="3" t="s">
        <v>3</v>
      </c>
      <c r="B16" s="11"/>
      <c r="C16" s="11"/>
      <c r="D16" s="1"/>
      <c r="E16" s="1"/>
      <c r="F16" s="1"/>
      <c r="G16" s="1"/>
    </row>
    <row r="17" spans="1:7" ht="12.75">
      <c r="A17" s="3" t="s">
        <v>4</v>
      </c>
      <c r="B17" s="11"/>
      <c r="C17" s="11">
        <v>0</v>
      </c>
      <c r="D17" s="1"/>
      <c r="E17" s="1"/>
      <c r="F17" s="1"/>
      <c r="G17" s="1"/>
    </row>
    <row r="18" spans="1:7" ht="12.75">
      <c r="A18" s="3" t="s">
        <v>5</v>
      </c>
      <c r="B18" s="12">
        <f>C56</f>
        <v>1520424</v>
      </c>
      <c r="C18" s="11"/>
      <c r="D18" s="1"/>
      <c r="E18" s="1"/>
      <c r="F18" s="1"/>
      <c r="G18" s="1"/>
    </row>
    <row r="19" spans="1:7" ht="12.75">
      <c r="A19" s="1"/>
      <c r="B19" s="14"/>
      <c r="C19" s="14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6.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 t="s">
        <v>10</v>
      </c>
      <c r="B23" s="3" t="s">
        <v>11</v>
      </c>
      <c r="C23" s="3" t="s">
        <v>12</v>
      </c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5" t="s">
        <v>13</v>
      </c>
      <c r="B25" s="5"/>
      <c r="C25" s="4"/>
      <c r="D25" s="1"/>
      <c r="E25" s="1"/>
      <c r="F25" s="1"/>
      <c r="G25" s="1"/>
    </row>
    <row r="26" spans="1:7" ht="12.75">
      <c r="A26" s="5" t="s">
        <v>14</v>
      </c>
      <c r="B26" s="5"/>
      <c r="C26" s="4"/>
      <c r="D26" s="1"/>
      <c r="E26" s="1"/>
      <c r="F26" s="1"/>
      <c r="G26" s="1"/>
    </row>
    <row r="27" spans="1:7" ht="25.5">
      <c r="A27" s="3" t="s">
        <v>15</v>
      </c>
      <c r="B27" s="3" t="s">
        <v>16</v>
      </c>
      <c r="C27" s="12">
        <f>C56*0.06</f>
        <v>91225.44</v>
      </c>
      <c r="D27" s="1"/>
      <c r="E27" s="1"/>
      <c r="F27" s="1"/>
      <c r="G27" s="1"/>
    </row>
    <row r="28" spans="1:7" ht="12.75">
      <c r="A28" s="3" t="s">
        <v>17</v>
      </c>
      <c r="B28" s="3" t="s">
        <v>18</v>
      </c>
      <c r="C28" s="12">
        <f>C56*0.015</f>
        <v>22806.36</v>
      </c>
      <c r="D28" s="1"/>
      <c r="E28" s="1"/>
      <c r="F28" s="1"/>
      <c r="G28" s="1"/>
    </row>
    <row r="29" spans="1:7" ht="12.75">
      <c r="A29" s="3" t="s">
        <v>19</v>
      </c>
      <c r="B29" s="3" t="s">
        <v>20</v>
      </c>
      <c r="C29" s="12"/>
      <c r="D29" s="1"/>
      <c r="E29" s="1"/>
      <c r="F29" s="1"/>
      <c r="G29" s="1"/>
    </row>
    <row r="30" spans="1:7" ht="12.75">
      <c r="A30" s="3" t="s">
        <v>21</v>
      </c>
      <c r="B30" s="3" t="s">
        <v>22</v>
      </c>
      <c r="C30" s="12">
        <f>C56*0.005</f>
        <v>7602.12</v>
      </c>
      <c r="D30" s="1"/>
      <c r="E30" s="1"/>
      <c r="F30" s="1"/>
      <c r="G30" s="1"/>
    </row>
    <row r="31" spans="1:7" ht="12.75">
      <c r="A31" s="3" t="s">
        <v>23</v>
      </c>
      <c r="B31" s="3" t="s">
        <v>24</v>
      </c>
      <c r="C31" s="12">
        <f>C56*0.01</f>
        <v>15204.24</v>
      </c>
      <c r="D31" s="1"/>
      <c r="E31" s="1"/>
      <c r="F31" s="1"/>
      <c r="G31" s="1"/>
    </row>
    <row r="32" spans="1:7" ht="12.75">
      <c r="A32" s="3" t="s">
        <v>25</v>
      </c>
      <c r="B32" s="3" t="s">
        <v>26</v>
      </c>
      <c r="C32" s="12">
        <f>C56*0.12</f>
        <v>182450.88</v>
      </c>
      <c r="D32" s="1"/>
      <c r="E32" s="1"/>
      <c r="F32" s="1"/>
      <c r="G32" s="1"/>
    </row>
    <row r="33" spans="1:7" ht="12.75">
      <c r="A33" s="70" t="s">
        <v>27</v>
      </c>
      <c r="B33" s="3" t="s">
        <v>28</v>
      </c>
      <c r="C33" s="12">
        <f>C56*0.0564</f>
        <v>85751.9136</v>
      </c>
      <c r="D33" s="1"/>
      <c r="E33" s="1"/>
      <c r="F33" s="1"/>
      <c r="G33" s="1"/>
    </row>
    <row r="34" spans="1:7" ht="12.75">
      <c r="A34" s="71"/>
      <c r="B34" s="3"/>
      <c r="C34" s="12"/>
      <c r="D34" s="1"/>
      <c r="E34" s="1"/>
      <c r="F34" s="1"/>
      <c r="G34" s="1"/>
    </row>
    <row r="35" spans="1:7" ht="25.5">
      <c r="A35" s="3" t="s">
        <v>29</v>
      </c>
      <c r="B35" s="3" t="s">
        <v>30</v>
      </c>
      <c r="C35" s="12">
        <f>C56*0.0285</f>
        <v>43332.084</v>
      </c>
      <c r="D35" s="1"/>
      <c r="E35" s="1"/>
      <c r="F35" s="1"/>
      <c r="G35" s="1"/>
    </row>
    <row r="36" spans="1:7" ht="38.25">
      <c r="A36" s="3" t="s">
        <v>31</v>
      </c>
      <c r="B36" s="3" t="s">
        <v>30</v>
      </c>
      <c r="C36" s="12">
        <f>C56*0.026</f>
        <v>39531.024</v>
      </c>
      <c r="D36" s="1"/>
      <c r="E36" s="1"/>
      <c r="F36" s="1"/>
      <c r="G36" s="1"/>
    </row>
    <row r="37" spans="1:7" ht="25.5">
      <c r="A37" s="3" t="s">
        <v>32</v>
      </c>
      <c r="B37" s="3" t="s">
        <v>33</v>
      </c>
      <c r="C37" s="12">
        <f>C56*0.002</f>
        <v>3040.848</v>
      </c>
      <c r="D37" s="1"/>
      <c r="E37" s="1"/>
      <c r="F37" s="1"/>
      <c r="G37" s="1"/>
    </row>
    <row r="38" spans="1:7" ht="38.25">
      <c r="A38" s="3" t="s">
        <v>50</v>
      </c>
      <c r="B38" s="3" t="s">
        <v>34</v>
      </c>
      <c r="C38" s="12">
        <f>C56*0.009</f>
        <v>13683.815999999999</v>
      </c>
      <c r="D38" s="1"/>
      <c r="E38" s="1"/>
      <c r="F38" s="1"/>
      <c r="G38" s="1"/>
    </row>
    <row r="39" spans="1:7" ht="25.5">
      <c r="A39" s="3" t="s">
        <v>35</v>
      </c>
      <c r="B39" s="3" t="s">
        <v>36</v>
      </c>
      <c r="C39" s="12">
        <f>C56*0.0111</f>
        <v>16876.7064</v>
      </c>
      <c r="D39" s="1"/>
      <c r="E39" s="1"/>
      <c r="F39" s="1"/>
      <c r="G39" s="1"/>
    </row>
    <row r="40" spans="1:7" ht="25.5">
      <c r="A40" s="3" t="s">
        <v>37</v>
      </c>
      <c r="B40" s="3" t="s">
        <v>133</v>
      </c>
      <c r="C40" s="12">
        <f>C56*0.004</f>
        <v>6081.696</v>
      </c>
      <c r="D40" s="1"/>
      <c r="E40" s="1"/>
      <c r="F40" s="1"/>
      <c r="G40" s="1"/>
    </row>
    <row r="41" spans="1:7" ht="12.75">
      <c r="A41" s="3" t="s">
        <v>38</v>
      </c>
      <c r="B41" s="3" t="s">
        <v>36</v>
      </c>
      <c r="C41" s="12">
        <f>C56*0.074</f>
        <v>112511.37599999999</v>
      </c>
      <c r="D41" s="1"/>
      <c r="E41" s="1"/>
      <c r="F41" s="1"/>
      <c r="G41" s="1"/>
    </row>
    <row r="42" spans="1:7" ht="25.5">
      <c r="A42" s="3" t="s">
        <v>40</v>
      </c>
      <c r="B42" s="3" t="s">
        <v>39</v>
      </c>
      <c r="C42" s="12">
        <f>C56*0.02</f>
        <v>30408.48</v>
      </c>
      <c r="D42" s="1"/>
      <c r="E42" s="1"/>
      <c r="F42" s="1"/>
      <c r="G42" s="1"/>
    </row>
    <row r="43" spans="1:7" ht="38.25">
      <c r="A43" s="3" t="s">
        <v>41</v>
      </c>
      <c r="B43" s="3" t="s">
        <v>42</v>
      </c>
      <c r="C43" s="12">
        <f>C56*0.01</f>
        <v>15204.24</v>
      </c>
      <c r="D43" s="1"/>
      <c r="E43" s="1"/>
      <c r="F43" s="1"/>
      <c r="G43" s="1"/>
    </row>
    <row r="44" spans="1:7" ht="25.5">
      <c r="A44" s="31" t="s">
        <v>143</v>
      </c>
      <c r="B44" s="3" t="s">
        <v>26</v>
      </c>
      <c r="C44" s="12">
        <f>C56*0.0236</f>
        <v>35882.0064</v>
      </c>
      <c r="D44" s="1"/>
      <c r="E44" s="1"/>
      <c r="F44" s="1"/>
      <c r="G44" s="1"/>
    </row>
    <row r="45" spans="1:7" ht="25.5">
      <c r="A45" s="31" t="s">
        <v>118</v>
      </c>
      <c r="B45" s="3" t="s">
        <v>43</v>
      </c>
      <c r="C45" s="12">
        <f>C56*0.05</f>
        <v>76021.2</v>
      </c>
      <c r="D45" s="1"/>
      <c r="E45" s="1"/>
      <c r="F45" s="1"/>
      <c r="G45" s="1"/>
    </row>
    <row r="46" spans="1:7" ht="25.5">
      <c r="A46" s="3" t="s">
        <v>44</v>
      </c>
      <c r="B46" s="3" t="s">
        <v>135</v>
      </c>
      <c r="C46" s="11"/>
      <c r="D46" s="1"/>
      <c r="E46" s="1"/>
      <c r="F46" s="1"/>
      <c r="G46" s="1"/>
    </row>
    <row r="47" spans="1:7" ht="25.5">
      <c r="A47" s="3" t="s">
        <v>45</v>
      </c>
      <c r="B47" s="3" t="s">
        <v>46</v>
      </c>
      <c r="C47" s="12">
        <f>C56*0.043</f>
        <v>65378.231999999996</v>
      </c>
      <c r="D47" s="1"/>
      <c r="E47" s="1"/>
      <c r="F47" s="1"/>
      <c r="G47" s="1"/>
    </row>
    <row r="48" spans="1:7" ht="38.25">
      <c r="A48" s="3" t="s">
        <v>47</v>
      </c>
      <c r="B48" s="3" t="s">
        <v>20</v>
      </c>
      <c r="C48" s="12">
        <f>C56*0.03</f>
        <v>45612.72</v>
      </c>
      <c r="D48" s="1"/>
      <c r="E48" s="1"/>
      <c r="F48" s="1"/>
      <c r="G48" s="1"/>
    </row>
    <row r="49" spans="1:7" ht="25.5">
      <c r="A49" s="3" t="s">
        <v>48</v>
      </c>
      <c r="B49" s="3" t="s">
        <v>42</v>
      </c>
      <c r="C49" s="12">
        <f>C56*0.003</f>
        <v>4561.272</v>
      </c>
      <c r="D49" s="1"/>
      <c r="E49" s="1"/>
      <c r="F49" s="1"/>
      <c r="G49" s="1"/>
    </row>
    <row r="50" spans="1:7" ht="25.5">
      <c r="A50" s="3" t="s">
        <v>49</v>
      </c>
      <c r="B50" s="3" t="s">
        <v>139</v>
      </c>
      <c r="C50" s="12">
        <f>C56*0.002</f>
        <v>3040.848</v>
      </c>
      <c r="D50" s="1"/>
      <c r="E50" s="1"/>
      <c r="F50" s="1"/>
      <c r="G50" s="1"/>
    </row>
    <row r="51" spans="1:7" ht="38.25">
      <c r="A51" s="31" t="s">
        <v>122</v>
      </c>
      <c r="B51" s="3" t="s">
        <v>53</v>
      </c>
      <c r="C51" s="12">
        <f>C56*0.198</f>
        <v>301043.952</v>
      </c>
      <c r="D51" s="1"/>
      <c r="E51" s="1"/>
      <c r="F51" s="1"/>
      <c r="G51" s="1"/>
    </row>
    <row r="52" spans="1:7" ht="25.5">
      <c r="A52" s="3" t="s">
        <v>51</v>
      </c>
      <c r="B52" s="3" t="s">
        <v>36</v>
      </c>
      <c r="C52" s="12">
        <f>C56*0.1994</f>
        <v>303172.5456</v>
      </c>
      <c r="D52" s="1"/>
      <c r="E52" s="1"/>
      <c r="F52" s="1"/>
      <c r="G52" s="1"/>
    </row>
    <row r="53" spans="1:7" ht="12.75">
      <c r="A53" s="3" t="s">
        <v>52</v>
      </c>
      <c r="B53" s="3" t="s">
        <v>54</v>
      </c>
      <c r="C53" s="11"/>
      <c r="D53" s="1"/>
      <c r="E53" s="1"/>
      <c r="F53" s="1"/>
      <c r="G53" s="1"/>
    </row>
    <row r="54" spans="1:7" ht="12.75">
      <c r="A54" s="3" t="s">
        <v>85</v>
      </c>
      <c r="B54" s="3" t="s">
        <v>54</v>
      </c>
      <c r="C54" s="11"/>
      <c r="D54" s="1"/>
      <c r="E54" s="1"/>
      <c r="F54" s="1"/>
      <c r="G54" s="1"/>
    </row>
    <row r="55" spans="1:7" ht="25.5">
      <c r="A55" s="3" t="s">
        <v>55</v>
      </c>
      <c r="B55" s="3" t="s">
        <v>36</v>
      </c>
      <c r="C55" s="11"/>
      <c r="D55" s="1"/>
      <c r="E55" s="1"/>
      <c r="F55" s="1"/>
      <c r="G55" s="1"/>
    </row>
    <row r="56" spans="1:7" ht="12.75">
      <c r="A56" s="10" t="s">
        <v>56</v>
      </c>
      <c r="B56" s="10"/>
      <c r="C56" s="13">
        <v>1520424</v>
      </c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5" t="s">
        <v>58</v>
      </c>
      <c r="B60" s="5"/>
      <c r="C60" s="5"/>
      <c r="D60" s="1"/>
      <c r="E60" s="1"/>
      <c r="F60" s="1"/>
      <c r="G60" s="1"/>
    </row>
    <row r="61" spans="1:7" ht="12.75">
      <c r="A61" s="5" t="s">
        <v>88</v>
      </c>
      <c r="B61" s="5"/>
      <c r="C61" s="5"/>
      <c r="D61" s="1"/>
      <c r="E61" s="1"/>
      <c r="F61" s="1"/>
      <c r="G61" s="1"/>
    </row>
    <row r="62" spans="1:7" ht="12.75">
      <c r="A62" s="5" t="s">
        <v>59</v>
      </c>
      <c r="B62" s="5"/>
      <c r="C62" s="5"/>
      <c r="D62" s="1"/>
      <c r="E62" s="1"/>
      <c r="F62" s="1"/>
      <c r="G62" s="1"/>
    </row>
    <row r="63" spans="1:7" ht="12.75">
      <c r="A63" s="5" t="s">
        <v>134</v>
      </c>
      <c r="B63" s="5"/>
      <c r="C63" s="5"/>
      <c r="D63" s="1"/>
      <c r="E63" s="1"/>
      <c r="F63" s="1"/>
      <c r="G63" s="1"/>
    </row>
    <row r="64" spans="1:7" ht="12.75">
      <c r="A64" s="5" t="s">
        <v>61</v>
      </c>
      <c r="B64" s="4"/>
      <c r="C64" s="4"/>
      <c r="D64" s="1"/>
      <c r="E64" s="1"/>
      <c r="F64" s="1"/>
      <c r="G64" s="1"/>
    </row>
    <row r="65" spans="1:7" ht="12.75">
      <c r="A65" s="5" t="s">
        <v>62</v>
      </c>
      <c r="B65" s="4"/>
      <c r="C65" s="4"/>
      <c r="D65" s="1"/>
      <c r="E65" s="1"/>
      <c r="F65" s="1"/>
      <c r="G65" s="1"/>
    </row>
    <row r="66" spans="1:7" ht="12.75">
      <c r="A66" s="5" t="s">
        <v>63</v>
      </c>
      <c r="B66" s="4"/>
      <c r="C66" s="4"/>
      <c r="D66" s="1"/>
      <c r="E66" s="1"/>
      <c r="F66" s="1"/>
      <c r="G66" s="1"/>
    </row>
    <row r="67" spans="1:7" ht="12.75">
      <c r="A67" s="4"/>
      <c r="B67" s="4"/>
      <c r="C67" s="4"/>
      <c r="D67" s="1"/>
      <c r="E67" s="1"/>
      <c r="F67" s="1"/>
      <c r="G67" s="1"/>
    </row>
    <row r="68" spans="1:7" ht="12.75">
      <c r="A68" s="5"/>
      <c r="B68" s="4"/>
      <c r="C68" s="4"/>
      <c r="D68" s="1"/>
      <c r="E68" s="1"/>
      <c r="F68" s="1"/>
      <c r="G68" s="1"/>
    </row>
    <row r="69" spans="1:7" ht="12.75">
      <c r="A69" s="5" t="s">
        <v>71</v>
      </c>
      <c r="B69" s="5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4"/>
      <c r="B71" s="4"/>
      <c r="C71" s="4"/>
      <c r="D71" s="1"/>
      <c r="E71" s="1"/>
      <c r="F71" s="1"/>
      <c r="G71" s="1"/>
    </row>
    <row r="72" spans="1:7" ht="12.75">
      <c r="A72" s="4"/>
      <c r="B72" s="4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4"/>
      <c r="B77" s="4"/>
      <c r="C77" s="4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</sheetData>
  <mergeCells count="3">
    <mergeCell ref="A20:C20"/>
    <mergeCell ref="A21:C21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G110"/>
  <sheetViews>
    <sheetView workbookViewId="0" topLeftCell="A20">
      <selection activeCell="F41" sqref="F41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137</v>
      </c>
    </row>
    <row r="12" ht="12.75">
      <c r="A12" t="s">
        <v>138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1"/>
      <c r="E13" s="1"/>
      <c r="F13" s="1"/>
      <c r="G13" s="1"/>
    </row>
    <row r="14" spans="1:7" ht="12.75">
      <c r="A14" s="3" t="s">
        <v>1</v>
      </c>
      <c r="B14" s="12">
        <f>B18</f>
        <v>1529132</v>
      </c>
      <c r="C14" s="11">
        <v>238405.1</v>
      </c>
      <c r="D14" s="1"/>
      <c r="E14" s="1"/>
      <c r="F14" s="1"/>
      <c r="G14" s="1"/>
    </row>
    <row r="15" spans="1:7" ht="12.75">
      <c r="A15" s="3" t="s">
        <v>2</v>
      </c>
      <c r="B15" s="12">
        <f>B14-B17</f>
        <v>1529132</v>
      </c>
      <c r="C15" s="11">
        <f>C14-C17</f>
        <v>238405.1</v>
      </c>
      <c r="D15" s="1"/>
      <c r="E15" s="1"/>
      <c r="F15" s="1"/>
      <c r="G15" s="1"/>
    </row>
    <row r="16" spans="1:7" ht="12.75">
      <c r="A16" s="3" t="s">
        <v>3</v>
      </c>
      <c r="B16" s="11"/>
      <c r="C16" s="11"/>
      <c r="D16" s="1"/>
      <c r="E16" s="1"/>
      <c r="F16" s="1"/>
      <c r="G16" s="1"/>
    </row>
    <row r="17" spans="1:7" ht="12.75">
      <c r="A17" s="3" t="s">
        <v>4</v>
      </c>
      <c r="B17" s="11"/>
      <c r="C17" s="11">
        <v>0</v>
      </c>
      <c r="D17" s="1"/>
      <c r="E17" s="1"/>
      <c r="F17" s="1"/>
      <c r="G17" s="1"/>
    </row>
    <row r="18" spans="1:7" ht="12.75">
      <c r="A18" s="3" t="s">
        <v>5</v>
      </c>
      <c r="B18" s="12">
        <f>C55</f>
        <v>1529132</v>
      </c>
      <c r="C18" s="1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6.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 t="s">
        <v>10</v>
      </c>
      <c r="B23" s="3" t="s">
        <v>11</v>
      </c>
      <c r="C23" s="3" t="s">
        <v>12</v>
      </c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5" t="s">
        <v>13</v>
      </c>
      <c r="B25" s="5"/>
      <c r="C25" s="4"/>
      <c r="D25" s="1"/>
      <c r="E25" s="1"/>
      <c r="F25" s="1"/>
      <c r="G25" s="1"/>
    </row>
    <row r="26" spans="1:7" ht="12.75">
      <c r="A26" s="5" t="s">
        <v>14</v>
      </c>
      <c r="B26" s="5"/>
      <c r="C26" s="4"/>
      <c r="D26" s="1"/>
      <c r="E26" s="1"/>
      <c r="F26" s="1"/>
      <c r="G26" s="1"/>
    </row>
    <row r="27" spans="1:7" ht="25.5">
      <c r="A27" s="3" t="s">
        <v>15</v>
      </c>
      <c r="B27" s="3" t="s">
        <v>16</v>
      </c>
      <c r="C27" s="12">
        <f>C55*0.06</f>
        <v>91747.92</v>
      </c>
      <c r="D27" s="1"/>
      <c r="E27" s="1"/>
      <c r="F27" s="1"/>
      <c r="G27" s="1"/>
    </row>
    <row r="28" spans="1:7" ht="12.75">
      <c r="A28" s="3" t="s">
        <v>17</v>
      </c>
      <c r="B28" s="3" t="s">
        <v>18</v>
      </c>
      <c r="C28" s="12">
        <f>C55*0.015</f>
        <v>22936.98</v>
      </c>
      <c r="D28" s="1"/>
      <c r="E28" s="1"/>
      <c r="F28" s="1"/>
      <c r="G28" s="1"/>
    </row>
    <row r="29" spans="1:7" ht="12.75">
      <c r="A29" s="3" t="s">
        <v>19</v>
      </c>
      <c r="B29" s="3" t="s">
        <v>20</v>
      </c>
      <c r="C29" s="12"/>
      <c r="D29" s="1"/>
      <c r="E29" s="1"/>
      <c r="F29" s="1"/>
      <c r="G29" s="1"/>
    </row>
    <row r="30" spans="1:7" ht="12.75">
      <c r="A30" s="3" t="s">
        <v>21</v>
      </c>
      <c r="B30" s="3" t="s">
        <v>22</v>
      </c>
      <c r="C30" s="12">
        <f>C55*0.005</f>
        <v>7645.66</v>
      </c>
      <c r="D30" s="1"/>
      <c r="E30" s="1"/>
      <c r="F30" s="1"/>
      <c r="G30" s="1"/>
    </row>
    <row r="31" spans="1:7" ht="12.75">
      <c r="A31" s="3" t="s">
        <v>23</v>
      </c>
      <c r="B31" s="3" t="s">
        <v>24</v>
      </c>
      <c r="C31" s="12">
        <f>C55*0.01</f>
        <v>15291.32</v>
      </c>
      <c r="D31" s="1"/>
      <c r="E31" s="1"/>
      <c r="F31" s="1"/>
      <c r="G31" s="1"/>
    </row>
    <row r="32" spans="1:7" ht="12.75">
      <c r="A32" s="3" t="s">
        <v>25</v>
      </c>
      <c r="B32" s="3" t="s">
        <v>26</v>
      </c>
      <c r="C32" s="12">
        <f>C55*0.12</f>
        <v>183495.84</v>
      </c>
      <c r="D32" s="1"/>
      <c r="E32" s="1"/>
      <c r="F32" s="1"/>
      <c r="G32" s="1"/>
    </row>
    <row r="33" spans="1:7" ht="12.75" customHeight="1">
      <c r="A33" s="34" t="s">
        <v>27</v>
      </c>
      <c r="B33" s="3" t="s">
        <v>28</v>
      </c>
      <c r="C33" s="12">
        <f>C55*0.0564</f>
        <v>86243.0448</v>
      </c>
      <c r="D33" s="1"/>
      <c r="E33" s="1"/>
      <c r="F33" s="1"/>
      <c r="G33" s="1"/>
    </row>
    <row r="34" spans="1:7" ht="25.5">
      <c r="A34" s="3" t="s">
        <v>29</v>
      </c>
      <c r="B34" s="3" t="s">
        <v>30</v>
      </c>
      <c r="C34" s="12">
        <f>C55*0.0285</f>
        <v>43580.262</v>
      </c>
      <c r="D34" s="1"/>
      <c r="E34" s="1"/>
      <c r="F34" s="1"/>
      <c r="G34" s="1"/>
    </row>
    <row r="35" spans="1:7" ht="38.25">
      <c r="A35" s="3" t="s">
        <v>31</v>
      </c>
      <c r="B35" s="3" t="s">
        <v>30</v>
      </c>
      <c r="C35" s="12">
        <f>C55*0.026</f>
        <v>39757.432</v>
      </c>
      <c r="D35" s="1"/>
      <c r="E35" s="1"/>
      <c r="F35" s="1"/>
      <c r="G35" s="1"/>
    </row>
    <row r="36" spans="1:7" ht="25.5">
      <c r="A36" s="3" t="s">
        <v>32</v>
      </c>
      <c r="B36" s="3" t="s">
        <v>33</v>
      </c>
      <c r="C36" s="12">
        <f>C55*0.002</f>
        <v>3058.264</v>
      </c>
      <c r="D36" s="1"/>
      <c r="E36" s="1"/>
      <c r="F36" s="1"/>
      <c r="G36" s="1"/>
    </row>
    <row r="37" spans="1:7" ht="38.25">
      <c r="A37" s="3" t="s">
        <v>50</v>
      </c>
      <c r="B37" s="3" t="s">
        <v>34</v>
      </c>
      <c r="C37" s="12">
        <f>C55*0.009</f>
        <v>13762.187999999998</v>
      </c>
      <c r="D37" s="1"/>
      <c r="E37" s="1"/>
      <c r="F37" s="1"/>
      <c r="G37" s="1"/>
    </row>
    <row r="38" spans="1:7" ht="25.5">
      <c r="A38" s="3" t="s">
        <v>35</v>
      </c>
      <c r="B38" s="3" t="s">
        <v>36</v>
      </c>
      <c r="C38" s="12">
        <f>C55*0.0111</f>
        <v>16973.3652</v>
      </c>
      <c r="D38" s="1"/>
      <c r="E38" s="1"/>
      <c r="F38" s="1"/>
      <c r="G38" s="1"/>
    </row>
    <row r="39" spans="1:7" ht="25.5">
      <c r="A39" s="3" t="s">
        <v>37</v>
      </c>
      <c r="B39" s="3" t="s">
        <v>133</v>
      </c>
      <c r="C39" s="12">
        <f>C55*0.004</f>
        <v>6116.528</v>
      </c>
      <c r="D39" s="1"/>
      <c r="E39" s="1"/>
      <c r="F39" s="1"/>
      <c r="G39" s="1"/>
    </row>
    <row r="40" spans="1:7" ht="12.75">
      <c r="A40" s="3" t="s">
        <v>38</v>
      </c>
      <c r="B40" s="3" t="s">
        <v>36</v>
      </c>
      <c r="C40" s="12">
        <f>C55*0.074</f>
        <v>113155.768</v>
      </c>
      <c r="D40" s="1"/>
      <c r="E40" s="1"/>
      <c r="F40" s="1"/>
      <c r="G40" s="1"/>
    </row>
    <row r="41" spans="1:7" ht="25.5">
      <c r="A41" s="3" t="s">
        <v>40</v>
      </c>
      <c r="B41" s="3" t="s">
        <v>39</v>
      </c>
      <c r="C41" s="12">
        <f>C55*0.02</f>
        <v>30582.64</v>
      </c>
      <c r="D41" s="1"/>
      <c r="E41" s="1"/>
      <c r="F41" s="1"/>
      <c r="G41" s="1"/>
    </row>
    <row r="42" spans="1:7" ht="38.25">
      <c r="A42" s="3" t="s">
        <v>41</v>
      </c>
      <c r="B42" s="3" t="s">
        <v>42</v>
      </c>
      <c r="C42" s="12">
        <f>C55*0.01</f>
        <v>15291.32</v>
      </c>
      <c r="D42" s="1"/>
      <c r="E42" s="1"/>
      <c r="F42" s="1"/>
      <c r="G42" s="1"/>
    </row>
    <row r="43" spans="1:7" ht="24.75" customHeight="1">
      <c r="A43" s="31" t="s">
        <v>143</v>
      </c>
      <c r="B43" s="3" t="s">
        <v>26</v>
      </c>
      <c r="C43" s="12">
        <f>C55*0.0236</f>
        <v>36087.5152</v>
      </c>
      <c r="D43" s="1"/>
      <c r="E43" s="1"/>
      <c r="F43" s="1"/>
      <c r="G43" s="1"/>
    </row>
    <row r="44" spans="1:7" ht="26.25" customHeight="1">
      <c r="A44" s="31" t="s">
        <v>118</v>
      </c>
      <c r="B44" s="3" t="s">
        <v>43</v>
      </c>
      <c r="C44" s="12">
        <f>C55*0.05</f>
        <v>76456.6</v>
      </c>
      <c r="D44" s="1"/>
      <c r="E44" s="1"/>
      <c r="F44" s="1"/>
      <c r="G44" s="1"/>
    </row>
    <row r="45" spans="1:7" ht="25.5">
      <c r="A45" s="3" t="s">
        <v>44</v>
      </c>
      <c r="B45" s="3" t="s">
        <v>135</v>
      </c>
      <c r="C45" s="11"/>
      <c r="D45" s="1"/>
      <c r="E45" s="1"/>
      <c r="F45" s="1"/>
      <c r="G45" s="1"/>
    </row>
    <row r="46" spans="1:7" ht="25.5">
      <c r="A46" s="3" t="s">
        <v>45</v>
      </c>
      <c r="B46" s="3" t="s">
        <v>46</v>
      </c>
      <c r="C46" s="12">
        <f>C55*0.043</f>
        <v>65752.67599999999</v>
      </c>
      <c r="D46" s="1"/>
      <c r="E46" s="1"/>
      <c r="F46" s="1"/>
      <c r="G46" s="1"/>
    </row>
    <row r="47" spans="1:7" ht="38.25">
      <c r="A47" s="3" t="s">
        <v>47</v>
      </c>
      <c r="B47" s="3" t="s">
        <v>20</v>
      </c>
      <c r="C47" s="12">
        <f>C55*0.03</f>
        <v>45873.96</v>
      </c>
      <c r="D47" s="1"/>
      <c r="E47" s="1"/>
      <c r="F47" s="1"/>
      <c r="G47" s="1"/>
    </row>
    <row r="48" spans="1:7" ht="25.5">
      <c r="A48" s="3" t="s">
        <v>48</v>
      </c>
      <c r="B48" s="3" t="s">
        <v>42</v>
      </c>
      <c r="C48" s="12">
        <f>C55*0.003</f>
        <v>4587.396</v>
      </c>
      <c r="D48" s="1"/>
      <c r="E48" s="1"/>
      <c r="F48" s="1"/>
      <c r="G48" s="1"/>
    </row>
    <row r="49" spans="1:7" ht="25.5">
      <c r="A49" s="3" t="s">
        <v>49</v>
      </c>
      <c r="B49" s="3" t="s">
        <v>139</v>
      </c>
      <c r="C49" s="12">
        <f>C55*0.002</f>
        <v>3058.264</v>
      </c>
      <c r="D49" s="1"/>
      <c r="E49" s="1"/>
      <c r="F49" s="1"/>
      <c r="G49" s="1"/>
    </row>
    <row r="50" spans="1:7" ht="40.5" customHeight="1">
      <c r="A50" s="31" t="s">
        <v>122</v>
      </c>
      <c r="B50" s="32" t="s">
        <v>53</v>
      </c>
      <c r="C50" s="12">
        <f>C55*0.198</f>
        <v>302768.136</v>
      </c>
      <c r="D50" s="1"/>
      <c r="E50" s="1"/>
      <c r="F50" s="1"/>
      <c r="G50" s="1"/>
    </row>
    <row r="51" spans="1:7" ht="25.5">
      <c r="A51" s="3" t="s">
        <v>51</v>
      </c>
      <c r="B51" s="3" t="s">
        <v>36</v>
      </c>
      <c r="C51" s="12">
        <f>C55*0.1994</f>
        <v>304908.92079999996</v>
      </c>
      <c r="D51" s="1"/>
      <c r="E51" s="1"/>
      <c r="F51" s="1"/>
      <c r="G51" s="1"/>
    </row>
    <row r="52" spans="1:7" ht="12.75">
      <c r="A52" s="3" t="s">
        <v>52</v>
      </c>
      <c r="B52" s="3" t="s">
        <v>54</v>
      </c>
      <c r="C52" s="11"/>
      <c r="D52" s="1"/>
      <c r="E52" s="1"/>
      <c r="F52" s="1"/>
      <c r="G52" s="1"/>
    </row>
    <row r="53" spans="1:7" ht="12.75">
      <c r="A53" s="3" t="s">
        <v>85</v>
      </c>
      <c r="B53" s="3" t="s">
        <v>54</v>
      </c>
      <c r="C53" s="11"/>
      <c r="D53" s="1"/>
      <c r="E53" s="1"/>
      <c r="F53" s="1"/>
      <c r="G53" s="1"/>
    </row>
    <row r="54" spans="1:7" ht="25.5">
      <c r="A54" s="3" t="s">
        <v>55</v>
      </c>
      <c r="B54" s="3" t="s">
        <v>36</v>
      </c>
      <c r="C54" s="11"/>
      <c r="D54" s="1"/>
      <c r="E54" s="1"/>
      <c r="F54" s="1"/>
      <c r="G54" s="1"/>
    </row>
    <row r="55" spans="1:7" ht="12.75">
      <c r="A55" s="10" t="s">
        <v>56</v>
      </c>
      <c r="B55" s="10"/>
      <c r="C55" s="13">
        <v>1529132</v>
      </c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5" t="s">
        <v>58</v>
      </c>
      <c r="B62" s="5"/>
      <c r="C62" s="5"/>
      <c r="D62" s="1"/>
      <c r="E62" s="1"/>
      <c r="F62" s="1"/>
      <c r="G62" s="1"/>
    </row>
    <row r="63" spans="1:7" ht="12.75">
      <c r="A63" s="5" t="s">
        <v>88</v>
      </c>
      <c r="B63" s="5"/>
      <c r="C63" s="5"/>
      <c r="D63" s="1"/>
      <c r="E63" s="1"/>
      <c r="F63" s="1"/>
      <c r="G63" s="1"/>
    </row>
    <row r="64" spans="1:7" ht="12.75">
      <c r="A64" s="5" t="s">
        <v>59</v>
      </c>
      <c r="B64" s="5"/>
      <c r="C64" s="5"/>
      <c r="D64" s="1"/>
      <c r="E64" s="1"/>
      <c r="F64" s="1"/>
      <c r="G64" s="1"/>
    </row>
    <row r="65" spans="1:7" ht="12.75">
      <c r="A65" s="5" t="s">
        <v>134</v>
      </c>
      <c r="B65" s="5"/>
      <c r="C65" s="5"/>
      <c r="D65" s="1"/>
      <c r="E65" s="1"/>
      <c r="F65" s="1"/>
      <c r="G65" s="1"/>
    </row>
    <row r="66" spans="1:7" ht="12.75">
      <c r="A66" s="5" t="s">
        <v>61</v>
      </c>
      <c r="B66" s="4"/>
      <c r="C66" s="4"/>
      <c r="D66" s="1"/>
      <c r="E66" s="1"/>
      <c r="F66" s="1"/>
      <c r="G66" s="1"/>
    </row>
    <row r="67" spans="1:7" ht="12.75">
      <c r="A67" s="5" t="s">
        <v>62</v>
      </c>
      <c r="B67" s="4"/>
      <c r="C67" s="4"/>
      <c r="D67" s="1"/>
      <c r="E67" s="1"/>
      <c r="F67" s="1"/>
      <c r="G67" s="1"/>
    </row>
    <row r="68" spans="1:7" ht="12.75">
      <c r="A68" s="5" t="s">
        <v>63</v>
      </c>
      <c r="B68" s="4"/>
      <c r="C68" s="4"/>
      <c r="D68" s="1"/>
      <c r="E68" s="1"/>
      <c r="F68" s="1"/>
      <c r="G68" s="1"/>
    </row>
    <row r="69" spans="1:7" ht="12.75">
      <c r="A69" s="4"/>
      <c r="B69" s="4"/>
      <c r="C69" s="4"/>
      <c r="D69" s="1"/>
      <c r="E69" s="1"/>
      <c r="F69" s="1"/>
      <c r="G69" s="1"/>
    </row>
    <row r="70" spans="1:7" ht="12.75">
      <c r="A70" s="5"/>
      <c r="B70" s="4"/>
      <c r="C70" s="4"/>
      <c r="D70" s="1"/>
      <c r="E70" s="1"/>
      <c r="F70" s="1"/>
      <c r="G70" s="1"/>
    </row>
    <row r="71" spans="1:7" ht="12.75">
      <c r="A71" s="5" t="s">
        <v>71</v>
      </c>
      <c r="B71" s="5"/>
      <c r="C71" s="4"/>
      <c r="D71" s="1"/>
      <c r="E71" s="1"/>
      <c r="F71" s="1"/>
      <c r="G71" s="1"/>
    </row>
    <row r="72" spans="1:7" ht="12.75">
      <c r="A72" s="4"/>
      <c r="B72" s="4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4"/>
      <c r="B77" s="4"/>
      <c r="C77" s="4"/>
      <c r="D77" s="1"/>
      <c r="E77" s="1"/>
      <c r="F77" s="1"/>
      <c r="G77" s="1"/>
    </row>
    <row r="78" spans="1:7" ht="12.75">
      <c r="A78" s="4"/>
      <c r="B78" s="4"/>
      <c r="C78" s="4"/>
      <c r="D78" s="1"/>
      <c r="E78" s="1"/>
      <c r="F78" s="1"/>
      <c r="G78" s="1"/>
    </row>
    <row r="79" spans="1:7" ht="12.75">
      <c r="A79" s="4"/>
      <c r="B79" s="4"/>
      <c r="C79" s="4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</sheetData>
  <mergeCells count="2">
    <mergeCell ref="A20:C20"/>
    <mergeCell ref="A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G106"/>
  <sheetViews>
    <sheetView workbookViewId="0" topLeftCell="A27">
      <selection activeCell="D42" sqref="D42"/>
    </sheetView>
  </sheetViews>
  <sheetFormatPr defaultColWidth="9.140625" defaultRowHeight="12.75"/>
  <cols>
    <col min="1" max="1" width="47.421875" style="0" customWidth="1"/>
    <col min="2" max="2" width="10.421875" style="0" customWidth="1"/>
    <col min="3" max="4" width="15.2812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131</v>
      </c>
    </row>
    <row r="12" ht="12.75">
      <c r="A12" t="s">
        <v>132</v>
      </c>
    </row>
    <row r="13" spans="1:7" ht="38.25" customHeight="1">
      <c r="A13" s="80" t="s">
        <v>0</v>
      </c>
      <c r="B13" s="81"/>
      <c r="C13" s="7" t="s">
        <v>64</v>
      </c>
      <c r="D13" s="7" t="s">
        <v>65</v>
      </c>
      <c r="E13" s="1"/>
      <c r="F13" s="1"/>
      <c r="G13" s="1"/>
    </row>
    <row r="14" spans="1:7" ht="12.75">
      <c r="A14" s="55" t="s">
        <v>1</v>
      </c>
      <c r="B14" s="56"/>
      <c r="C14" s="12">
        <v>1521391</v>
      </c>
      <c r="D14" s="11">
        <v>334454.8</v>
      </c>
      <c r="E14" s="1"/>
      <c r="F14" s="1"/>
      <c r="G14" s="1"/>
    </row>
    <row r="15" spans="1:7" ht="12.75">
      <c r="A15" s="55" t="s">
        <v>2</v>
      </c>
      <c r="B15" s="56"/>
      <c r="C15" s="12">
        <f>C14</f>
        <v>1521391</v>
      </c>
      <c r="D15" s="11">
        <f>D14-D17</f>
        <v>334454.8</v>
      </c>
      <c r="E15" s="1"/>
      <c r="F15" s="1"/>
      <c r="G15" s="1"/>
    </row>
    <row r="16" spans="1:7" ht="12.75">
      <c r="A16" s="55" t="s">
        <v>3</v>
      </c>
      <c r="B16" s="56"/>
      <c r="C16" s="11"/>
      <c r="D16" s="11"/>
      <c r="E16" s="1"/>
      <c r="F16" s="1"/>
      <c r="G16" s="1"/>
    </row>
    <row r="17" spans="1:7" ht="12.75">
      <c r="A17" s="55" t="s">
        <v>4</v>
      </c>
      <c r="B17" s="56"/>
      <c r="C17" s="11">
        <v>0</v>
      </c>
      <c r="D17" s="11">
        <v>0</v>
      </c>
      <c r="E17" s="1"/>
      <c r="F17" s="1"/>
      <c r="G17" s="1"/>
    </row>
    <row r="18" spans="1:7" ht="12.75">
      <c r="A18" s="55" t="s">
        <v>5</v>
      </c>
      <c r="B18" s="56"/>
      <c r="C18" s="12">
        <f>D55</f>
        <v>1521391</v>
      </c>
      <c r="D18" s="1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25.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53" t="s">
        <v>10</v>
      </c>
      <c r="B23" s="54"/>
      <c r="C23" s="3" t="s">
        <v>11</v>
      </c>
      <c r="D23" s="3" t="s">
        <v>12</v>
      </c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5" t="s">
        <v>13</v>
      </c>
      <c r="B25" s="5"/>
      <c r="C25" s="5"/>
      <c r="D25" s="4"/>
      <c r="E25" s="1"/>
      <c r="F25" s="1"/>
      <c r="G25" s="1"/>
    </row>
    <row r="26" spans="1:7" ht="12.75">
      <c r="A26" s="5" t="s">
        <v>14</v>
      </c>
      <c r="B26" s="5"/>
      <c r="C26" s="5"/>
      <c r="D26" s="4"/>
      <c r="E26" s="1"/>
      <c r="F26" s="1"/>
      <c r="G26" s="1"/>
    </row>
    <row r="27" spans="1:7" ht="25.5" customHeight="1">
      <c r="A27" s="55" t="s">
        <v>15</v>
      </c>
      <c r="B27" s="82"/>
      <c r="C27" s="3" t="s">
        <v>16</v>
      </c>
      <c r="D27" s="12">
        <f>D55*0.06</f>
        <v>91283.45999999999</v>
      </c>
      <c r="E27" s="1"/>
      <c r="F27" s="1"/>
      <c r="G27" s="1"/>
    </row>
    <row r="28" spans="1:7" ht="12.75">
      <c r="A28" s="55" t="s">
        <v>17</v>
      </c>
      <c r="B28" s="56"/>
      <c r="C28" s="3" t="s">
        <v>18</v>
      </c>
      <c r="D28" s="12">
        <f>D55*0.015</f>
        <v>22820.864999999998</v>
      </c>
      <c r="E28" s="1"/>
      <c r="F28" s="1"/>
      <c r="G28" s="1"/>
    </row>
    <row r="29" spans="1:7" ht="12.75">
      <c r="A29" s="55" t="s">
        <v>19</v>
      </c>
      <c r="B29" s="56"/>
      <c r="C29" s="3" t="s">
        <v>20</v>
      </c>
      <c r="D29" s="12"/>
      <c r="E29" s="1"/>
      <c r="F29" s="1"/>
      <c r="G29" s="1"/>
    </row>
    <row r="30" spans="1:7" ht="12.75">
      <c r="A30" s="55" t="s">
        <v>21</v>
      </c>
      <c r="B30" s="56"/>
      <c r="C30" s="3" t="s">
        <v>22</v>
      </c>
      <c r="D30" s="12">
        <f>D55*0.005</f>
        <v>7606.955</v>
      </c>
      <c r="E30" s="1"/>
      <c r="F30" s="1"/>
      <c r="G30" s="1"/>
    </row>
    <row r="31" spans="1:7" ht="12.75">
      <c r="A31" s="55" t="s">
        <v>23</v>
      </c>
      <c r="B31" s="56"/>
      <c r="C31" s="3" t="s">
        <v>24</v>
      </c>
      <c r="D31" s="12">
        <f>D55*0.01</f>
        <v>15213.91</v>
      </c>
      <c r="E31" s="1"/>
      <c r="F31" s="1"/>
      <c r="G31" s="1"/>
    </row>
    <row r="32" spans="1:7" ht="12.75">
      <c r="A32" s="55" t="s">
        <v>25</v>
      </c>
      <c r="B32" s="56"/>
      <c r="C32" s="3" t="s">
        <v>26</v>
      </c>
      <c r="D32" s="12">
        <f>D55*0.12</f>
        <v>182566.91999999998</v>
      </c>
      <c r="E32" s="1"/>
      <c r="F32" s="1"/>
      <c r="G32" s="1"/>
    </row>
    <row r="33" spans="1:7" ht="25.5">
      <c r="A33" s="80" t="s">
        <v>27</v>
      </c>
      <c r="B33" s="81"/>
      <c r="C33" s="3" t="s">
        <v>28</v>
      </c>
      <c r="D33" s="12">
        <f>D55*0.0564</f>
        <v>85806.4524</v>
      </c>
      <c r="E33" s="1"/>
      <c r="F33" s="1"/>
      <c r="G33" s="1"/>
    </row>
    <row r="34" spans="1:7" ht="25.5">
      <c r="A34" s="55" t="s">
        <v>29</v>
      </c>
      <c r="B34" s="56"/>
      <c r="C34" s="3" t="s">
        <v>30</v>
      </c>
      <c r="D34" s="12">
        <f>D55*0.0285</f>
        <v>43359.6435</v>
      </c>
      <c r="E34" s="1"/>
      <c r="F34" s="1"/>
      <c r="G34" s="1"/>
    </row>
    <row r="35" spans="1:7" ht="38.25" customHeight="1">
      <c r="A35" s="55" t="s">
        <v>31</v>
      </c>
      <c r="B35" s="56"/>
      <c r="C35" s="3" t="s">
        <v>30</v>
      </c>
      <c r="D35" s="12">
        <f>D55*0.026</f>
        <v>39556.166</v>
      </c>
      <c r="E35" s="1"/>
      <c r="F35" s="1"/>
      <c r="G35" s="1"/>
    </row>
    <row r="36" spans="1:7" ht="25.5">
      <c r="A36" s="55" t="s">
        <v>32</v>
      </c>
      <c r="B36" s="56"/>
      <c r="C36" s="3" t="s">
        <v>33</v>
      </c>
      <c r="D36" s="12">
        <f>D55*0.002</f>
        <v>3042.782</v>
      </c>
      <c r="E36" s="1"/>
      <c r="F36" s="1"/>
      <c r="G36" s="1"/>
    </row>
    <row r="37" spans="1:7" ht="30.75" customHeight="1">
      <c r="A37" s="55" t="s">
        <v>50</v>
      </c>
      <c r="B37" s="56"/>
      <c r="C37" s="3" t="s">
        <v>34</v>
      </c>
      <c r="D37" s="12">
        <f>D55*0.009</f>
        <v>13692.518999999998</v>
      </c>
      <c r="E37" s="1"/>
      <c r="F37" s="1"/>
      <c r="G37" s="1"/>
    </row>
    <row r="38" spans="1:7" ht="25.5" customHeight="1">
      <c r="A38" s="55" t="s">
        <v>35</v>
      </c>
      <c r="B38" s="56"/>
      <c r="C38" s="3" t="s">
        <v>36</v>
      </c>
      <c r="D38" s="12">
        <f>D55*0.0111</f>
        <v>16887.4401</v>
      </c>
      <c r="E38" s="1"/>
      <c r="F38" s="1"/>
      <c r="G38" s="1"/>
    </row>
    <row r="39" spans="1:7" ht="25.5" customHeight="1">
      <c r="A39" s="55" t="s">
        <v>37</v>
      </c>
      <c r="B39" s="56"/>
      <c r="C39" s="3" t="s">
        <v>133</v>
      </c>
      <c r="D39" s="12">
        <f>D55*0.004</f>
        <v>6085.564</v>
      </c>
      <c r="E39" s="1"/>
      <c r="F39" s="1"/>
      <c r="G39" s="1"/>
    </row>
    <row r="40" spans="1:7" ht="12.75">
      <c r="A40" s="55" t="s">
        <v>38</v>
      </c>
      <c r="B40" s="56"/>
      <c r="C40" s="3" t="s">
        <v>36</v>
      </c>
      <c r="D40" s="12">
        <f>D55*0.074</f>
        <v>112582.934</v>
      </c>
      <c r="E40" s="1"/>
      <c r="F40" s="1"/>
      <c r="G40" s="1"/>
    </row>
    <row r="41" spans="1:7" ht="25.5" customHeight="1">
      <c r="A41" s="55" t="s">
        <v>40</v>
      </c>
      <c r="B41" s="56"/>
      <c r="C41" s="3" t="s">
        <v>39</v>
      </c>
      <c r="D41" s="12">
        <f>D55*0.02</f>
        <v>30427.82</v>
      </c>
      <c r="E41" s="1"/>
      <c r="F41" s="1"/>
      <c r="G41" s="1"/>
    </row>
    <row r="42" spans="1:7" ht="38.25" customHeight="1">
      <c r="A42" s="55" t="s">
        <v>41</v>
      </c>
      <c r="B42" s="56"/>
      <c r="C42" s="3" t="s">
        <v>42</v>
      </c>
      <c r="D42" s="12">
        <f>D55*0.01</f>
        <v>15213.91</v>
      </c>
      <c r="E42" s="1"/>
      <c r="F42" s="1"/>
      <c r="G42" s="1"/>
    </row>
    <row r="43" spans="1:7" ht="28.5" customHeight="1">
      <c r="A43" s="55" t="s">
        <v>143</v>
      </c>
      <c r="B43" s="56"/>
      <c r="C43" s="3" t="s">
        <v>26</v>
      </c>
      <c r="D43" s="12">
        <f>D55*0.0236</f>
        <v>35904.8276</v>
      </c>
      <c r="E43" s="1"/>
      <c r="F43" s="1"/>
      <c r="G43" s="1"/>
    </row>
    <row r="44" spans="1:7" ht="33.75" customHeight="1">
      <c r="A44" s="55" t="s">
        <v>118</v>
      </c>
      <c r="B44" s="56"/>
      <c r="C44" s="3" t="s">
        <v>43</v>
      </c>
      <c r="D44" s="12">
        <f>D55*0.05</f>
        <v>76069.55</v>
      </c>
      <c r="E44" s="1"/>
      <c r="F44" s="1"/>
      <c r="G44" s="1"/>
    </row>
    <row r="45" spans="1:7" ht="12.75">
      <c r="A45" s="55" t="s">
        <v>44</v>
      </c>
      <c r="B45" s="56"/>
      <c r="C45" s="3" t="s">
        <v>135</v>
      </c>
      <c r="D45" s="11"/>
      <c r="E45" s="1"/>
      <c r="F45" s="1"/>
      <c r="G45" s="1"/>
    </row>
    <row r="46" spans="1:7" ht="38.25">
      <c r="A46" s="55" t="s">
        <v>45</v>
      </c>
      <c r="B46" s="56"/>
      <c r="C46" s="3" t="s">
        <v>46</v>
      </c>
      <c r="D46" s="12">
        <f>D55*0.043</f>
        <v>65419.812999999995</v>
      </c>
      <c r="E46" s="1"/>
      <c r="F46" s="1"/>
      <c r="G46" s="1"/>
    </row>
    <row r="47" spans="1:7" ht="38.25" customHeight="1">
      <c r="A47" s="55" t="s">
        <v>47</v>
      </c>
      <c r="B47" s="56"/>
      <c r="C47" s="3" t="s">
        <v>20</v>
      </c>
      <c r="D47" s="12">
        <f>D55*0.03</f>
        <v>45641.729999999996</v>
      </c>
      <c r="E47" s="1"/>
      <c r="F47" s="1"/>
      <c r="G47" s="1"/>
    </row>
    <row r="48" spans="1:7" ht="25.5">
      <c r="A48" s="55" t="s">
        <v>48</v>
      </c>
      <c r="B48" s="56"/>
      <c r="C48" s="3" t="s">
        <v>42</v>
      </c>
      <c r="D48" s="12">
        <f>D55*0.003</f>
        <v>4564.173</v>
      </c>
      <c r="E48" s="1"/>
      <c r="F48" s="1"/>
      <c r="G48" s="1"/>
    </row>
    <row r="49" spans="1:7" ht="25.5" customHeight="1">
      <c r="A49" s="55" t="s">
        <v>49</v>
      </c>
      <c r="B49" s="56"/>
      <c r="C49" s="3" t="s">
        <v>136</v>
      </c>
      <c r="D49" s="12">
        <f>D55*0.002</f>
        <v>3042.782</v>
      </c>
      <c r="E49" s="1"/>
      <c r="F49" s="1"/>
      <c r="G49" s="1"/>
    </row>
    <row r="50" spans="1:7" ht="40.5" customHeight="1">
      <c r="A50" s="55" t="s">
        <v>122</v>
      </c>
      <c r="B50" s="56"/>
      <c r="C50" s="3" t="s">
        <v>53</v>
      </c>
      <c r="D50" s="12">
        <f>D55*0.198</f>
        <v>301235.418</v>
      </c>
      <c r="E50" s="1"/>
      <c r="F50" s="1"/>
      <c r="G50" s="1"/>
    </row>
    <row r="51" spans="1:7" ht="25.5" customHeight="1">
      <c r="A51" s="55" t="s">
        <v>51</v>
      </c>
      <c r="B51" s="56"/>
      <c r="C51" s="3" t="s">
        <v>36</v>
      </c>
      <c r="D51" s="12">
        <f>D55*0.1994</f>
        <v>303365.3654</v>
      </c>
      <c r="E51" s="1"/>
      <c r="F51" s="1"/>
      <c r="G51" s="1"/>
    </row>
    <row r="52" spans="1:7" ht="12.75">
      <c r="A52" s="55" t="s">
        <v>52</v>
      </c>
      <c r="B52" s="56"/>
      <c r="C52" s="3" t="s">
        <v>54</v>
      </c>
      <c r="D52" s="11"/>
      <c r="E52" s="1"/>
      <c r="F52" s="1"/>
      <c r="G52" s="1"/>
    </row>
    <row r="53" spans="1:7" ht="12.75">
      <c r="A53" s="55" t="s">
        <v>85</v>
      </c>
      <c r="B53" s="56"/>
      <c r="C53" s="3" t="s">
        <v>54</v>
      </c>
      <c r="D53" s="11"/>
      <c r="E53" s="1"/>
      <c r="F53" s="1"/>
      <c r="G53" s="1"/>
    </row>
    <row r="54" spans="1:7" ht="25.5" customHeight="1">
      <c r="A54" s="55" t="s">
        <v>55</v>
      </c>
      <c r="B54" s="56"/>
      <c r="C54" s="3" t="s">
        <v>36</v>
      </c>
      <c r="D54" s="11"/>
      <c r="E54" s="1"/>
      <c r="F54" s="1"/>
      <c r="G54" s="1"/>
    </row>
    <row r="55" spans="1:7" ht="12.75">
      <c r="A55" s="63" t="s">
        <v>56</v>
      </c>
      <c r="B55" s="64"/>
      <c r="C55" s="10"/>
      <c r="D55" s="13">
        <v>1521391</v>
      </c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5" t="s">
        <v>58</v>
      </c>
      <c r="B58" s="5"/>
      <c r="C58" s="5"/>
      <c r="D58" s="1"/>
      <c r="E58" s="1"/>
      <c r="F58" s="1"/>
      <c r="G58" s="1"/>
    </row>
    <row r="59" spans="1:7" ht="12.75">
      <c r="A59" s="5" t="s">
        <v>88</v>
      </c>
      <c r="B59" s="5"/>
      <c r="C59" s="5"/>
      <c r="D59" s="1"/>
      <c r="E59" s="1"/>
      <c r="F59" s="1"/>
      <c r="G59" s="1"/>
    </row>
    <row r="60" spans="1:7" ht="12.75">
      <c r="A60" s="5" t="s">
        <v>59</v>
      </c>
      <c r="B60" s="5"/>
      <c r="C60" s="5"/>
      <c r="D60" s="1"/>
      <c r="E60" s="1"/>
      <c r="F60" s="1"/>
      <c r="G60" s="1"/>
    </row>
    <row r="61" spans="1:7" ht="12.75">
      <c r="A61" s="5" t="s">
        <v>134</v>
      </c>
      <c r="B61" s="5"/>
      <c r="C61" s="5"/>
      <c r="D61" s="1"/>
      <c r="E61" s="1"/>
      <c r="F61" s="1"/>
      <c r="G61" s="1"/>
    </row>
    <row r="62" spans="1:7" ht="12.75">
      <c r="A62" s="5" t="s">
        <v>61</v>
      </c>
      <c r="B62" s="4"/>
      <c r="C62" s="4"/>
      <c r="D62" s="1"/>
      <c r="E62" s="1"/>
      <c r="F62" s="1"/>
      <c r="G62" s="1"/>
    </row>
    <row r="63" spans="1:7" ht="12.75">
      <c r="A63" s="5" t="s">
        <v>62</v>
      </c>
      <c r="B63" s="4"/>
      <c r="C63" s="4"/>
      <c r="D63" s="1"/>
      <c r="E63" s="1"/>
      <c r="F63" s="1"/>
      <c r="G63" s="1"/>
    </row>
    <row r="64" spans="1:7" ht="12.75">
      <c r="A64" s="5" t="s">
        <v>63</v>
      </c>
      <c r="B64" s="4"/>
      <c r="C64" s="4"/>
      <c r="D64" s="1"/>
      <c r="E64" s="1"/>
      <c r="F64" s="1"/>
      <c r="G64" s="1"/>
    </row>
    <row r="65" spans="1:7" ht="12.75">
      <c r="A65" s="4"/>
      <c r="B65" s="4"/>
      <c r="C65" s="4"/>
      <c r="D65" s="1"/>
      <c r="E65" s="1"/>
      <c r="F65" s="1"/>
      <c r="G65" s="1"/>
    </row>
    <row r="66" spans="1:7" ht="12.75">
      <c r="A66" s="5"/>
      <c r="B66" s="4"/>
      <c r="C66" s="4"/>
      <c r="D66" s="1"/>
      <c r="E66" s="1"/>
      <c r="F66" s="1"/>
      <c r="G66" s="1"/>
    </row>
    <row r="67" spans="1:7" ht="12.75">
      <c r="A67" s="5" t="s">
        <v>71</v>
      </c>
      <c r="B67" s="5"/>
      <c r="C67" s="4"/>
      <c r="D67" s="1"/>
      <c r="E67" s="1"/>
      <c r="F67" s="1"/>
      <c r="G67" s="1"/>
    </row>
    <row r="68" spans="1:7" ht="12.75">
      <c r="A68" s="4"/>
      <c r="B68" s="4"/>
      <c r="C68" s="4"/>
      <c r="D68" s="1"/>
      <c r="E68" s="1"/>
      <c r="F68" s="1"/>
      <c r="G68" s="1"/>
    </row>
    <row r="69" spans="1:7" ht="12.75">
      <c r="A69" s="4"/>
      <c r="B69" s="4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4"/>
      <c r="B71" s="4"/>
      <c r="C71" s="4"/>
      <c r="D71" s="1"/>
      <c r="E71" s="1"/>
      <c r="F71" s="1"/>
      <c r="G71" s="1"/>
    </row>
    <row r="72" spans="1:7" ht="12.75">
      <c r="A72" s="4"/>
      <c r="B72" s="4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</sheetData>
  <mergeCells count="38">
    <mergeCell ref="A17:B17"/>
    <mergeCell ref="A18:B18"/>
    <mergeCell ref="A23:B23"/>
    <mergeCell ref="A55:B55"/>
    <mergeCell ref="A20:C20"/>
    <mergeCell ref="A21:C21"/>
    <mergeCell ref="A27:B27"/>
    <mergeCell ref="A28:B28"/>
    <mergeCell ref="A29:B29"/>
    <mergeCell ref="A30:B30"/>
    <mergeCell ref="A13:B13"/>
    <mergeCell ref="A14:B14"/>
    <mergeCell ref="A15:B15"/>
    <mergeCell ref="A16:B16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3:B53"/>
    <mergeCell ref="A54:B54"/>
    <mergeCell ref="A49:B49"/>
    <mergeCell ref="A50:B50"/>
    <mergeCell ref="A51:B51"/>
    <mergeCell ref="A52:B52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H111"/>
  <sheetViews>
    <sheetView workbookViewId="0" topLeftCell="A22">
      <selection activeCell="C27" sqref="C27:C43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6</v>
      </c>
    </row>
    <row r="12" ht="12.75">
      <c r="A12" t="s">
        <v>66</v>
      </c>
    </row>
    <row r="13" spans="1:8" ht="38.25" customHeight="1">
      <c r="A13" s="7" t="s">
        <v>0</v>
      </c>
      <c r="B13" s="7" t="s">
        <v>64</v>
      </c>
      <c r="C13" s="7" t="s">
        <v>65</v>
      </c>
      <c r="D13" s="1"/>
      <c r="E13" s="1"/>
      <c r="F13" s="1"/>
      <c r="G13" s="1"/>
      <c r="H13" s="1"/>
    </row>
    <row r="14" spans="1:8" ht="12.75">
      <c r="A14" s="3" t="s">
        <v>1</v>
      </c>
      <c r="B14" s="11">
        <v>242851.78</v>
      </c>
      <c r="C14" s="11">
        <f>62791.54+16428.8+88999.2+1599.42</f>
        <v>169818.96</v>
      </c>
      <c r="D14" s="1"/>
      <c r="E14" s="1"/>
      <c r="F14" s="1"/>
      <c r="G14" s="1"/>
      <c r="H14" s="1"/>
    </row>
    <row r="15" spans="1:8" ht="12.75">
      <c r="A15" s="3" t="s">
        <v>2</v>
      </c>
      <c r="B15" s="11">
        <f>B14-B17</f>
        <v>222475.13</v>
      </c>
      <c r="C15" s="11">
        <f>C14-C17</f>
        <v>144600.57</v>
      </c>
      <c r="D15" s="1"/>
      <c r="E15" s="1"/>
      <c r="F15" s="1"/>
      <c r="G15" s="1"/>
      <c r="H15" s="1"/>
    </row>
    <row r="16" spans="1:8" ht="12.75">
      <c r="A16" s="3" t="s">
        <v>3</v>
      </c>
      <c r="B16" s="11"/>
      <c r="C16" s="11"/>
      <c r="D16" s="1"/>
      <c r="E16" s="1"/>
      <c r="F16" s="1"/>
      <c r="G16" s="1"/>
      <c r="H16" s="1"/>
    </row>
    <row r="17" spans="1:8" ht="12.75">
      <c r="A17" s="3" t="s">
        <v>4</v>
      </c>
      <c r="B17" s="11">
        <v>20376.65</v>
      </c>
      <c r="C17" s="11">
        <v>25218.39</v>
      </c>
      <c r="D17" s="1"/>
      <c r="E17" s="1"/>
      <c r="F17" s="1"/>
      <c r="G17" s="1"/>
      <c r="H17" s="1"/>
    </row>
    <row r="18" spans="1:8" ht="12.75">
      <c r="A18" s="3" t="s">
        <v>5</v>
      </c>
      <c r="B18" s="12">
        <f>C56+C59+C60</f>
        <v>430588.93600000005</v>
      </c>
      <c r="C18" s="1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3.5" customHeight="1">
      <c r="A20" s="51" t="s">
        <v>9</v>
      </c>
      <c r="B20" s="51"/>
      <c r="C20" s="51"/>
      <c r="D20" s="1"/>
      <c r="E20" s="1"/>
      <c r="F20" s="1"/>
      <c r="G20" s="1"/>
      <c r="H20" s="1"/>
    </row>
    <row r="21" spans="1:8" ht="16.5" customHeight="1">
      <c r="A21" s="52" t="s">
        <v>90</v>
      </c>
      <c r="B21" s="52"/>
      <c r="C21" s="52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3" t="s">
        <v>10</v>
      </c>
      <c r="B23" s="3" t="s">
        <v>11</v>
      </c>
      <c r="C23" s="3" t="s">
        <v>12</v>
      </c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5" t="s">
        <v>13</v>
      </c>
      <c r="B25" s="5"/>
      <c r="C25" s="4"/>
      <c r="D25" s="1"/>
      <c r="E25" s="1"/>
      <c r="F25" s="1"/>
      <c r="G25" s="1"/>
      <c r="H25" s="1"/>
    </row>
    <row r="26" spans="1:8" ht="12.75">
      <c r="A26" s="5" t="s">
        <v>14</v>
      </c>
      <c r="B26" s="5"/>
      <c r="C26" s="4"/>
      <c r="D26" s="1"/>
      <c r="E26" s="1"/>
      <c r="F26" s="1"/>
      <c r="G26" s="1"/>
      <c r="H26" s="1"/>
    </row>
    <row r="27" spans="1:8" ht="25.5">
      <c r="A27" s="3" t="s">
        <v>15</v>
      </c>
      <c r="B27" s="3" t="s">
        <v>16</v>
      </c>
      <c r="C27" s="12">
        <f>797.7*1.82*12</f>
        <v>17421.768</v>
      </c>
      <c r="D27" s="1"/>
      <c r="E27" s="1"/>
      <c r="F27" s="1"/>
      <c r="G27" s="1"/>
      <c r="H27" s="1"/>
    </row>
    <row r="28" spans="1:8" ht="12.75">
      <c r="A28" s="3" t="s">
        <v>17</v>
      </c>
      <c r="B28" s="3" t="s">
        <v>18</v>
      </c>
      <c r="C28" s="12">
        <f>797.7*12*0.46</f>
        <v>4403.304000000001</v>
      </c>
      <c r="D28" s="1"/>
      <c r="E28" s="1"/>
      <c r="F28" s="1"/>
      <c r="G28" s="1"/>
      <c r="H28" s="1"/>
    </row>
    <row r="29" spans="1:8" ht="12.75">
      <c r="A29" s="3" t="s">
        <v>19</v>
      </c>
      <c r="B29" s="3" t="s">
        <v>20</v>
      </c>
      <c r="C29" s="12"/>
      <c r="D29" s="1"/>
      <c r="E29" s="1"/>
      <c r="F29" s="1"/>
      <c r="G29" s="1"/>
      <c r="H29" s="1"/>
    </row>
    <row r="30" spans="1:8" ht="12.75">
      <c r="A30" s="3" t="s">
        <v>21</v>
      </c>
      <c r="B30" s="3" t="s">
        <v>22</v>
      </c>
      <c r="C30" s="12">
        <f>797.7*12*0.16</f>
        <v>1531.5840000000003</v>
      </c>
      <c r="D30" s="1"/>
      <c r="E30" s="1"/>
      <c r="F30" s="1"/>
      <c r="G30" s="1"/>
      <c r="H30" s="1"/>
    </row>
    <row r="31" spans="1:8" ht="12.75">
      <c r="A31" s="3" t="s">
        <v>23</v>
      </c>
      <c r="B31" s="3" t="s">
        <v>24</v>
      </c>
      <c r="C31" s="12">
        <f>0.18*797.7*12</f>
        <v>1723.0320000000002</v>
      </c>
      <c r="D31" s="1"/>
      <c r="E31" s="1"/>
      <c r="F31" s="1"/>
      <c r="G31" s="1"/>
      <c r="H31" s="1"/>
    </row>
    <row r="32" spans="1:8" ht="12.75">
      <c r="A32" s="3" t="s">
        <v>25</v>
      </c>
      <c r="B32" s="3" t="s">
        <v>26</v>
      </c>
      <c r="C32" s="12">
        <f>797.7*12*0.14</f>
        <v>1340.1360000000004</v>
      </c>
      <c r="D32" s="1"/>
      <c r="E32" s="1"/>
      <c r="F32" s="1"/>
      <c r="G32" s="1"/>
      <c r="H32" s="1"/>
    </row>
    <row r="33" spans="1:8" ht="25.5" customHeight="1">
      <c r="A33" s="83" t="s">
        <v>27</v>
      </c>
      <c r="B33" s="61" t="s">
        <v>28</v>
      </c>
      <c r="C33" s="12">
        <f>797.7*12*1.64</f>
        <v>15698.736</v>
      </c>
      <c r="D33" s="1"/>
      <c r="E33" s="1"/>
      <c r="F33" s="1"/>
      <c r="G33" s="1"/>
      <c r="H33" s="1"/>
    </row>
    <row r="34" spans="1:8" ht="12.75">
      <c r="A34" s="84"/>
      <c r="B34" s="62"/>
      <c r="C34" s="12">
        <v>13210.68</v>
      </c>
      <c r="D34" s="1"/>
      <c r="E34" s="1"/>
      <c r="F34" s="1"/>
      <c r="G34" s="1"/>
      <c r="H34" s="1"/>
    </row>
    <row r="35" spans="1:8" ht="25.5">
      <c r="A35" s="3" t="s">
        <v>29</v>
      </c>
      <c r="B35" s="3" t="s">
        <v>30</v>
      </c>
      <c r="C35" s="12">
        <f>797.7*12*0.87</f>
        <v>8327.988000000001</v>
      </c>
      <c r="D35" s="1"/>
      <c r="E35" s="1"/>
      <c r="F35" s="1"/>
      <c r="G35" s="1"/>
      <c r="H35" s="1"/>
    </row>
    <row r="36" spans="1:8" ht="38.25">
      <c r="A36" s="3" t="s">
        <v>31</v>
      </c>
      <c r="B36" s="3" t="s">
        <v>30</v>
      </c>
      <c r="C36" s="12">
        <f>797.7*12*0.78</f>
        <v>7466.472000000002</v>
      </c>
      <c r="D36" s="1"/>
      <c r="E36" s="1"/>
      <c r="F36" s="1"/>
      <c r="G36" s="1"/>
      <c r="H36" s="1"/>
    </row>
    <row r="37" spans="1:8" ht="25.5">
      <c r="A37" s="3" t="s">
        <v>32</v>
      </c>
      <c r="B37" s="3" t="s">
        <v>33</v>
      </c>
      <c r="C37" s="11">
        <f>797.7*12*0.05</f>
        <v>478.6200000000001</v>
      </c>
      <c r="D37" s="1"/>
      <c r="E37" s="1"/>
      <c r="F37" s="1"/>
      <c r="G37" s="1"/>
      <c r="H37" s="1"/>
    </row>
    <row r="38" spans="1:8" ht="38.25">
      <c r="A38" s="3" t="s">
        <v>50</v>
      </c>
      <c r="B38" s="3" t="s">
        <v>34</v>
      </c>
      <c r="C38" s="12">
        <f>797.7*12*0.28</f>
        <v>2680.272000000001</v>
      </c>
      <c r="D38" s="1"/>
      <c r="E38" s="1"/>
      <c r="F38" s="1"/>
      <c r="G38" s="1"/>
      <c r="H38" s="1"/>
    </row>
    <row r="39" spans="1:8" ht="25.5">
      <c r="A39" s="3" t="s">
        <v>35</v>
      </c>
      <c r="B39" s="3" t="s">
        <v>36</v>
      </c>
      <c r="C39" s="12">
        <f>797.7*12*0.34</f>
        <v>3254.616000000001</v>
      </c>
      <c r="D39" s="1"/>
      <c r="E39" s="1"/>
      <c r="F39" s="1"/>
      <c r="G39" s="1"/>
      <c r="H39" s="1"/>
    </row>
    <row r="40" spans="1:8" ht="25.5">
      <c r="A40" s="3" t="s">
        <v>37</v>
      </c>
      <c r="B40" s="3" t="s">
        <v>98</v>
      </c>
      <c r="C40" s="12">
        <f>797.7*12*0.11</f>
        <v>1052.9640000000002</v>
      </c>
      <c r="D40" s="1"/>
      <c r="E40" s="1"/>
      <c r="F40" s="1"/>
      <c r="G40" s="1"/>
      <c r="H40" s="1"/>
    </row>
    <row r="41" spans="1:8" ht="12.75">
      <c r="A41" s="3" t="s">
        <v>38</v>
      </c>
      <c r="B41" s="3" t="s">
        <v>36</v>
      </c>
      <c r="C41" s="12">
        <v>47862</v>
      </c>
      <c r="D41" s="1"/>
      <c r="E41" s="1"/>
      <c r="F41" s="1"/>
      <c r="G41" s="1"/>
      <c r="H41" s="1"/>
    </row>
    <row r="42" spans="1:8" ht="25.5">
      <c r="A42" s="3" t="s">
        <v>40</v>
      </c>
      <c r="B42" s="3" t="s">
        <v>39</v>
      </c>
      <c r="C42" s="12">
        <f>797.7*12*0.58</f>
        <v>5551.992</v>
      </c>
      <c r="D42" s="1"/>
      <c r="E42" s="1"/>
      <c r="F42" s="1"/>
      <c r="G42" s="1"/>
      <c r="H42" s="1"/>
    </row>
    <row r="43" spans="1:8" ht="38.25">
      <c r="A43" s="3" t="s">
        <v>41</v>
      </c>
      <c r="B43" s="3" t="s">
        <v>42</v>
      </c>
      <c r="C43" s="12">
        <f>797.7*12*0.28</f>
        <v>2680.272000000001</v>
      </c>
      <c r="D43" s="1"/>
      <c r="E43" s="1"/>
      <c r="F43" s="1"/>
      <c r="G43" s="1"/>
      <c r="H43" s="1"/>
    </row>
    <row r="44" spans="1:8" ht="38.25">
      <c r="A44" s="3" t="s">
        <v>119</v>
      </c>
      <c r="B44" s="3" t="s">
        <v>26</v>
      </c>
      <c r="C44" s="12">
        <f>797.7*12*1.31</f>
        <v>12539.844000000003</v>
      </c>
      <c r="D44" s="1"/>
      <c r="E44" s="1"/>
      <c r="F44" s="1"/>
      <c r="G44" s="1"/>
      <c r="H44" s="1"/>
    </row>
    <row r="45" spans="1:8" ht="25.5">
      <c r="A45" s="3" t="s">
        <v>118</v>
      </c>
      <c r="B45" s="3" t="s">
        <v>43</v>
      </c>
      <c r="C45" s="12">
        <f>797.7*12*1.53</f>
        <v>14645.772000000003</v>
      </c>
      <c r="D45" s="1"/>
      <c r="E45" s="1"/>
      <c r="F45" s="1"/>
      <c r="G45" s="1"/>
      <c r="H45" s="1"/>
    </row>
    <row r="46" spans="1:8" ht="25.5">
      <c r="A46" s="3" t="s">
        <v>117</v>
      </c>
      <c r="B46" s="3" t="s">
        <v>135</v>
      </c>
      <c r="C46" s="11"/>
      <c r="D46" s="1"/>
      <c r="E46" s="1"/>
      <c r="F46" s="1"/>
      <c r="G46" s="1"/>
      <c r="H46" s="1"/>
    </row>
    <row r="47" spans="1:8" ht="31.5" customHeight="1">
      <c r="A47" s="3" t="s">
        <v>45</v>
      </c>
      <c r="B47" s="3" t="s">
        <v>46</v>
      </c>
      <c r="C47" s="12">
        <f>797.7*12*0.72</f>
        <v>6892.128000000001</v>
      </c>
      <c r="D47" s="1"/>
      <c r="E47" s="1"/>
      <c r="F47" s="1"/>
      <c r="G47" s="1"/>
      <c r="H47" s="1"/>
    </row>
    <row r="48" spans="1:8" ht="38.25">
      <c r="A48" s="3" t="s">
        <v>47</v>
      </c>
      <c r="B48" s="3" t="s">
        <v>20</v>
      </c>
      <c r="C48" s="12">
        <f>797.7*12*0.24</f>
        <v>2297.376</v>
      </c>
      <c r="D48" s="1"/>
      <c r="E48" s="1"/>
      <c r="F48" s="1"/>
      <c r="G48" s="1"/>
      <c r="H48" s="1"/>
    </row>
    <row r="49" spans="1:8" ht="21.75" customHeight="1">
      <c r="A49" s="3" t="s">
        <v>48</v>
      </c>
      <c r="B49" s="3" t="s">
        <v>97</v>
      </c>
      <c r="C49" s="12">
        <f>797.7*12*0.12</f>
        <v>1148.688</v>
      </c>
      <c r="D49" s="1"/>
      <c r="E49" s="1"/>
      <c r="F49" s="1"/>
      <c r="G49" s="1"/>
      <c r="H49" s="1"/>
    </row>
    <row r="50" spans="1:8" ht="25.5">
      <c r="A50" s="3" t="s">
        <v>49</v>
      </c>
      <c r="B50" s="3" t="s">
        <v>139</v>
      </c>
      <c r="C50" s="11"/>
      <c r="D50" s="1"/>
      <c r="E50" s="1"/>
      <c r="F50" s="1"/>
      <c r="G50" s="1"/>
      <c r="H50" s="1"/>
    </row>
    <row r="51" spans="1:8" ht="42.75" customHeight="1">
      <c r="A51" s="31" t="s">
        <v>122</v>
      </c>
      <c r="B51" s="3" t="s">
        <v>53</v>
      </c>
      <c r="C51" s="12">
        <f>797.7*19.77*12</f>
        <v>189246.348</v>
      </c>
      <c r="D51" s="1"/>
      <c r="E51" s="1"/>
      <c r="F51" s="1"/>
      <c r="G51" s="1"/>
      <c r="H51" s="1"/>
    </row>
    <row r="52" spans="1:8" ht="25.5">
      <c r="A52" s="3" t="s">
        <v>51</v>
      </c>
      <c r="B52" s="3" t="s">
        <v>36</v>
      </c>
      <c r="C52" s="12">
        <f>797.7*12*5.26</f>
        <v>50350.82400000001</v>
      </c>
      <c r="D52" s="1"/>
      <c r="E52" s="1"/>
      <c r="F52" s="1"/>
      <c r="G52" s="1"/>
      <c r="H52" s="1"/>
    </row>
    <row r="53" spans="1:8" ht="12.75">
      <c r="A53" s="3" t="s">
        <v>52</v>
      </c>
      <c r="B53" s="3" t="s">
        <v>54</v>
      </c>
      <c r="C53" s="11"/>
      <c r="D53" s="1"/>
      <c r="E53" s="1"/>
      <c r="F53" s="1"/>
      <c r="G53" s="1"/>
      <c r="H53" s="1"/>
    </row>
    <row r="54" spans="1:8" ht="12.75">
      <c r="A54" s="3" t="s">
        <v>85</v>
      </c>
      <c r="B54" s="3" t="s">
        <v>54</v>
      </c>
      <c r="C54" s="11"/>
      <c r="D54" s="1"/>
      <c r="E54" s="1"/>
      <c r="F54" s="1"/>
      <c r="G54" s="1"/>
      <c r="H54" s="1"/>
    </row>
    <row r="55" spans="1:8" ht="25.5">
      <c r="A55" s="3" t="s">
        <v>55</v>
      </c>
      <c r="B55" s="3" t="s">
        <v>36</v>
      </c>
      <c r="C55" s="11"/>
      <c r="D55" s="1"/>
      <c r="E55" s="1"/>
      <c r="F55" s="1"/>
      <c r="G55" s="1"/>
      <c r="H55" s="1"/>
    </row>
    <row r="56" spans="1:8" ht="12.75">
      <c r="A56" s="10" t="s">
        <v>56</v>
      </c>
      <c r="B56" s="10"/>
      <c r="C56" s="13">
        <f>SUM(C27:C55)</f>
        <v>411805.416</v>
      </c>
      <c r="D56" s="1"/>
      <c r="E56" s="1"/>
      <c r="F56" s="1"/>
      <c r="G56" s="1"/>
      <c r="H56" s="1"/>
    </row>
    <row r="57" spans="1:8" ht="12.75">
      <c r="A57" s="3"/>
      <c r="B57" s="3"/>
      <c r="C57" s="11"/>
      <c r="D57" s="1"/>
      <c r="E57" s="1"/>
      <c r="F57" s="1"/>
      <c r="G57" s="1"/>
      <c r="H57" s="1"/>
    </row>
    <row r="58" spans="1:8" ht="12.75">
      <c r="A58" s="10" t="s">
        <v>57</v>
      </c>
      <c r="B58" s="3"/>
      <c r="C58" s="11"/>
      <c r="D58" s="1"/>
      <c r="E58" s="1"/>
      <c r="F58" s="1"/>
      <c r="G58" s="1"/>
      <c r="H58" s="1"/>
    </row>
    <row r="59" spans="1:8" ht="12.75">
      <c r="A59" s="3" t="s">
        <v>94</v>
      </c>
      <c r="B59" s="3" t="s">
        <v>93</v>
      </c>
      <c r="C59" s="11">
        <v>3540.77</v>
      </c>
      <c r="D59" s="1"/>
      <c r="E59" s="1"/>
      <c r="F59" s="1"/>
      <c r="G59" s="1"/>
      <c r="H59" s="1"/>
    </row>
    <row r="60" spans="1:8" ht="12.75">
      <c r="A60" s="3" t="s">
        <v>95</v>
      </c>
      <c r="B60" s="3" t="s">
        <v>96</v>
      </c>
      <c r="C60" s="11">
        <v>15242.75</v>
      </c>
      <c r="D60" s="1"/>
      <c r="E60" s="1"/>
      <c r="F60" s="1"/>
      <c r="G60" s="1"/>
      <c r="H60" s="1"/>
    </row>
    <row r="61" spans="1:8" ht="12.75">
      <c r="A61" s="3"/>
      <c r="B61" s="3"/>
      <c r="C61" s="3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5" t="s">
        <v>58</v>
      </c>
      <c r="B63" s="5"/>
      <c r="C63" s="5"/>
      <c r="D63" s="1"/>
      <c r="E63" s="1"/>
      <c r="F63" s="1"/>
      <c r="G63" s="1"/>
      <c r="H63" s="1"/>
    </row>
    <row r="64" spans="1:8" ht="12.75">
      <c r="A64" s="5" t="s">
        <v>88</v>
      </c>
      <c r="B64" s="5"/>
      <c r="C64" s="5"/>
      <c r="D64" s="1"/>
      <c r="E64" s="1"/>
      <c r="F64" s="1"/>
      <c r="G64" s="1"/>
      <c r="H64" s="1"/>
    </row>
    <row r="65" spans="1:8" ht="12.75">
      <c r="A65" s="5" t="s">
        <v>59</v>
      </c>
      <c r="B65" s="5"/>
      <c r="C65" s="5"/>
      <c r="D65" s="1"/>
      <c r="E65" s="1"/>
      <c r="F65" s="1"/>
      <c r="G65" s="1"/>
      <c r="H65" s="1"/>
    </row>
    <row r="66" spans="1:8" ht="12.75">
      <c r="A66" s="5" t="s">
        <v>89</v>
      </c>
      <c r="B66" s="5"/>
      <c r="C66" s="5"/>
      <c r="D66" s="1"/>
      <c r="E66" s="1"/>
      <c r="F66" s="1"/>
      <c r="G66" s="1"/>
      <c r="H66" s="1"/>
    </row>
    <row r="67" spans="1:8" ht="12.75">
      <c r="A67" s="5" t="s">
        <v>61</v>
      </c>
      <c r="B67" s="4"/>
      <c r="C67" s="4"/>
      <c r="D67" s="1"/>
      <c r="E67" s="1"/>
      <c r="F67" s="1"/>
      <c r="G67" s="1"/>
      <c r="H67" s="1"/>
    </row>
    <row r="68" spans="1:8" ht="12.75">
      <c r="A68" s="5" t="s">
        <v>62</v>
      </c>
      <c r="B68" s="4"/>
      <c r="C68" s="4"/>
      <c r="D68" s="1"/>
      <c r="E68" s="1"/>
      <c r="F68" s="1"/>
      <c r="G68" s="1"/>
      <c r="H68" s="1"/>
    </row>
    <row r="69" spans="1:8" ht="12.75">
      <c r="A69" s="5" t="s">
        <v>63</v>
      </c>
      <c r="B69" s="4"/>
      <c r="C69" s="4"/>
      <c r="D69" s="1"/>
      <c r="E69" s="1"/>
      <c r="F69" s="1"/>
      <c r="G69" s="1"/>
      <c r="H69" s="1"/>
    </row>
    <row r="70" spans="1:8" ht="12.75">
      <c r="A70" s="4"/>
      <c r="B70" s="4"/>
      <c r="C70" s="4"/>
      <c r="D70" s="1"/>
      <c r="E70" s="1"/>
      <c r="F70" s="1"/>
      <c r="G70" s="1"/>
      <c r="H70" s="1"/>
    </row>
    <row r="71" spans="1:8" ht="12.75">
      <c r="A71" s="5"/>
      <c r="B71" s="4"/>
      <c r="C71" s="4"/>
      <c r="D71" s="1"/>
      <c r="E71" s="1"/>
      <c r="F71" s="1"/>
      <c r="G71" s="1"/>
      <c r="H71" s="1"/>
    </row>
    <row r="72" spans="1:8" ht="12.75">
      <c r="A72" s="5" t="s">
        <v>71</v>
      </c>
      <c r="B72" s="5"/>
      <c r="C72" s="4"/>
      <c r="D72" s="1"/>
      <c r="E72" s="1"/>
      <c r="F72" s="1"/>
      <c r="G72" s="1"/>
      <c r="H72" s="1"/>
    </row>
    <row r="73" spans="1:8" ht="12.75">
      <c r="A73" s="4"/>
      <c r="B73" s="4"/>
      <c r="C73" s="4"/>
      <c r="D73" s="1"/>
      <c r="E73" s="1"/>
      <c r="F73" s="1"/>
      <c r="G73" s="1"/>
      <c r="H73" s="1"/>
    </row>
    <row r="74" spans="1:8" ht="12.75">
      <c r="A74" s="4"/>
      <c r="B74" s="4"/>
      <c r="C74" s="4"/>
      <c r="D74" s="1"/>
      <c r="E74" s="1"/>
      <c r="F74" s="1"/>
      <c r="G74" s="1"/>
      <c r="H74" s="1"/>
    </row>
    <row r="75" spans="1:8" ht="12.75">
      <c r="A75" s="4"/>
      <c r="B75" s="4"/>
      <c r="C75" s="4"/>
      <c r="D75" s="1"/>
      <c r="E75" s="1"/>
      <c r="F75" s="1"/>
      <c r="G75" s="1"/>
      <c r="H75" s="1"/>
    </row>
    <row r="76" spans="1:8" ht="12.75">
      <c r="A76" s="4"/>
      <c r="B76" s="4"/>
      <c r="C76" s="4"/>
      <c r="D76" s="1"/>
      <c r="E76" s="1"/>
      <c r="F76" s="1"/>
      <c r="G76" s="1"/>
      <c r="H76" s="1"/>
    </row>
    <row r="77" spans="1:8" ht="12.75">
      <c r="A77" s="4"/>
      <c r="B77" s="4"/>
      <c r="C77" s="4"/>
      <c r="D77" s="1"/>
      <c r="E77" s="1"/>
      <c r="F77" s="1"/>
      <c r="G77" s="1"/>
      <c r="H77" s="1"/>
    </row>
    <row r="78" spans="1:8" ht="12.75">
      <c r="A78" s="4"/>
      <c r="B78" s="4"/>
      <c r="C78" s="4"/>
      <c r="D78" s="1"/>
      <c r="E78" s="1"/>
      <c r="F78" s="1"/>
      <c r="G78" s="1"/>
      <c r="H78" s="1"/>
    </row>
    <row r="79" spans="1:8" ht="12.75">
      <c r="A79" s="4"/>
      <c r="B79" s="4"/>
      <c r="C79" s="4"/>
      <c r="D79" s="1"/>
      <c r="E79" s="1"/>
      <c r="F79" s="1"/>
      <c r="G79" s="1"/>
      <c r="H79" s="1"/>
    </row>
    <row r="80" spans="1:8" ht="12.75">
      <c r="A80" s="4"/>
      <c r="B80" s="4"/>
      <c r="C80" s="4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</sheetData>
  <mergeCells count="4">
    <mergeCell ref="A20:C20"/>
    <mergeCell ref="A21:C21"/>
    <mergeCell ref="A33:A34"/>
    <mergeCell ref="B33:B34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110"/>
  <sheetViews>
    <sheetView workbookViewId="0" topLeftCell="A34">
      <selection activeCell="C56" sqref="C56:C58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74</v>
      </c>
    </row>
    <row r="12" ht="12.75">
      <c r="A12" t="s">
        <v>87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1"/>
      <c r="E13" s="1"/>
      <c r="F13" s="1"/>
      <c r="G13" s="1"/>
    </row>
    <row r="14" spans="1:7" ht="12.75">
      <c r="A14" s="3" t="s">
        <v>1</v>
      </c>
      <c r="B14" s="11">
        <f>61009.24+61415.88</f>
        <v>122425.12</v>
      </c>
      <c r="C14" s="11">
        <v>51532.44</v>
      </c>
      <c r="D14" s="1"/>
      <c r="E14" s="1"/>
      <c r="F14" s="1"/>
      <c r="G14" s="1"/>
    </row>
    <row r="15" spans="1:7" ht="12.75">
      <c r="A15" s="3" t="s">
        <v>2</v>
      </c>
      <c r="B15" s="11">
        <f>B14-B17</f>
        <v>112223.03</v>
      </c>
      <c r="C15" s="11">
        <f>C14-C17</f>
        <v>49928.14</v>
      </c>
      <c r="D15" s="1"/>
      <c r="E15" s="1"/>
      <c r="F15" s="1"/>
      <c r="G15" s="1"/>
    </row>
    <row r="16" spans="1:7" ht="12.75">
      <c r="A16" s="3" t="s">
        <v>3</v>
      </c>
      <c r="B16" s="11"/>
      <c r="C16" s="11"/>
      <c r="D16" s="1"/>
      <c r="E16" s="1"/>
      <c r="F16" s="1"/>
      <c r="G16" s="1"/>
    </row>
    <row r="17" spans="1:7" ht="12.75">
      <c r="A17" s="3" t="s">
        <v>4</v>
      </c>
      <c r="B17" s="11">
        <v>10202.09</v>
      </c>
      <c r="C17" s="11">
        <v>1604.3</v>
      </c>
      <c r="D17" s="1"/>
      <c r="E17" s="1"/>
      <c r="F17" s="1"/>
      <c r="G17" s="1"/>
    </row>
    <row r="18" spans="1:7" ht="12.75">
      <c r="A18" s="3" t="s">
        <v>5</v>
      </c>
      <c r="B18" s="12">
        <f>C53+C56+C57+C58</f>
        <v>260794.104</v>
      </c>
      <c r="C18" s="1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6.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 t="s">
        <v>10</v>
      </c>
      <c r="B23" s="3" t="s">
        <v>11</v>
      </c>
      <c r="C23" s="3" t="s">
        <v>12</v>
      </c>
      <c r="D23" s="1"/>
      <c r="E23" s="1"/>
      <c r="F23" s="1"/>
      <c r="G23" s="1"/>
    </row>
    <row r="24" spans="1:7" ht="12.75">
      <c r="A24" s="18"/>
      <c r="B24" s="24"/>
      <c r="C24" s="21"/>
      <c r="D24" s="1"/>
      <c r="E24" s="1"/>
      <c r="F24" s="1"/>
      <c r="G24" s="1"/>
    </row>
    <row r="25" spans="1:7" ht="12.75">
      <c r="A25" s="19" t="s">
        <v>13</v>
      </c>
      <c r="B25" s="16"/>
      <c r="C25" s="22"/>
      <c r="D25" s="1"/>
      <c r="E25" s="1"/>
      <c r="F25" s="1"/>
      <c r="G25" s="1"/>
    </row>
    <row r="26" spans="1:7" ht="12.75">
      <c r="A26" s="20" t="s">
        <v>14</v>
      </c>
      <c r="B26" s="25"/>
      <c r="C26" s="23"/>
      <c r="D26" s="1"/>
      <c r="E26" s="1"/>
      <c r="F26" s="1"/>
      <c r="G26" s="1"/>
    </row>
    <row r="27" spans="1:7" ht="25.5">
      <c r="A27" s="3" t="s">
        <v>15</v>
      </c>
      <c r="B27" s="3" t="s">
        <v>16</v>
      </c>
      <c r="C27" s="12">
        <f>5056.8*1.82</f>
        <v>9203.376</v>
      </c>
      <c r="D27" s="1"/>
      <c r="E27" s="1"/>
      <c r="F27" s="1"/>
      <c r="G27" s="1"/>
    </row>
    <row r="28" spans="1:7" ht="12.75">
      <c r="A28" s="3" t="s">
        <v>17</v>
      </c>
      <c r="B28" s="3" t="s">
        <v>18</v>
      </c>
      <c r="C28" s="12">
        <f>5056.8*0.46</f>
        <v>2326.128</v>
      </c>
      <c r="D28" s="1"/>
      <c r="E28" s="1"/>
      <c r="F28" s="1"/>
      <c r="G28" s="1"/>
    </row>
    <row r="29" spans="1:7" ht="12.75">
      <c r="A29" s="3" t="s">
        <v>19</v>
      </c>
      <c r="B29" s="3" t="s">
        <v>20</v>
      </c>
      <c r="C29" s="12"/>
      <c r="D29" s="1"/>
      <c r="E29" s="1"/>
      <c r="F29" s="1"/>
      <c r="G29" s="1"/>
    </row>
    <row r="30" spans="1:7" ht="12.75">
      <c r="A30" s="3" t="s">
        <v>21</v>
      </c>
      <c r="B30" s="3" t="s">
        <v>22</v>
      </c>
      <c r="C30" s="12">
        <f>5056.8*0.16</f>
        <v>809.0880000000001</v>
      </c>
      <c r="D30" s="1"/>
      <c r="E30" s="1"/>
      <c r="F30" s="1"/>
      <c r="G30" s="1"/>
    </row>
    <row r="31" spans="1:7" ht="12.75">
      <c r="A31" s="3" t="s">
        <v>23</v>
      </c>
      <c r="B31" s="3" t="s">
        <v>24</v>
      </c>
      <c r="C31" s="12">
        <f>5056.8*0.18</f>
        <v>910.224</v>
      </c>
      <c r="D31" s="1"/>
      <c r="E31" s="1"/>
      <c r="F31" s="1"/>
      <c r="G31" s="1"/>
    </row>
    <row r="32" spans="1:7" ht="12.75">
      <c r="A32" s="3" t="s">
        <v>25</v>
      </c>
      <c r="B32" s="3" t="s">
        <v>26</v>
      </c>
      <c r="C32" s="12">
        <f>5056.8*0.14</f>
        <v>707.9520000000001</v>
      </c>
      <c r="D32" s="1"/>
      <c r="E32" s="1"/>
      <c r="F32" s="1"/>
      <c r="G32" s="1"/>
    </row>
    <row r="33" spans="1:7" ht="25.5" customHeight="1">
      <c r="A33" s="68" t="s">
        <v>27</v>
      </c>
      <c r="B33" s="61" t="s">
        <v>28</v>
      </c>
      <c r="C33" s="12">
        <f>5056.8*1.64</f>
        <v>8293.152</v>
      </c>
      <c r="D33" s="1"/>
      <c r="E33" s="1"/>
      <c r="F33" s="1"/>
      <c r="G33" s="1"/>
    </row>
    <row r="34" spans="1:7" ht="12.75">
      <c r="A34" s="69"/>
      <c r="B34" s="62"/>
      <c r="C34" s="12">
        <v>6978.8</v>
      </c>
      <c r="D34" s="1"/>
      <c r="E34" s="1"/>
      <c r="F34" s="1"/>
      <c r="G34" s="1"/>
    </row>
    <row r="35" spans="1:7" ht="25.5">
      <c r="A35" s="3" t="s">
        <v>29</v>
      </c>
      <c r="B35" s="3" t="s">
        <v>30</v>
      </c>
      <c r="C35" s="12">
        <f>5056.8*0.87</f>
        <v>4399.416</v>
      </c>
      <c r="D35" s="1"/>
      <c r="E35" s="1"/>
      <c r="F35" s="1"/>
      <c r="G35" s="1"/>
    </row>
    <row r="36" spans="1:7" ht="38.25">
      <c r="A36" s="3" t="s">
        <v>31</v>
      </c>
      <c r="B36" s="3" t="s">
        <v>30</v>
      </c>
      <c r="C36" s="12">
        <f>5056.8*0.69</f>
        <v>3489.192</v>
      </c>
      <c r="D36" s="1"/>
      <c r="E36" s="1"/>
      <c r="F36" s="1"/>
      <c r="G36" s="1"/>
    </row>
    <row r="37" spans="1:7" ht="25.5">
      <c r="A37" s="3" t="s">
        <v>32</v>
      </c>
      <c r="B37" s="3" t="s">
        <v>33</v>
      </c>
      <c r="C37" s="12">
        <f>5056.8*0.05</f>
        <v>252.84000000000003</v>
      </c>
      <c r="D37" s="1"/>
      <c r="E37" s="1"/>
      <c r="F37" s="1"/>
      <c r="G37" s="1"/>
    </row>
    <row r="38" spans="1:7" ht="38.25">
      <c r="A38" s="3" t="s">
        <v>50</v>
      </c>
      <c r="B38" s="3" t="s">
        <v>34</v>
      </c>
      <c r="C38" s="12">
        <f>0.07*5056.8</f>
        <v>353.97600000000006</v>
      </c>
      <c r="D38" s="1"/>
      <c r="E38" s="1"/>
      <c r="F38" s="1"/>
      <c r="G38" s="1"/>
    </row>
    <row r="39" spans="1:7" ht="25.5">
      <c r="A39" s="3" t="s">
        <v>35</v>
      </c>
      <c r="B39" s="3" t="s">
        <v>36</v>
      </c>
      <c r="C39" s="12">
        <f>5056.8*0.34</f>
        <v>1719.3120000000001</v>
      </c>
      <c r="D39" s="1"/>
      <c r="E39" s="1"/>
      <c r="F39" s="1"/>
      <c r="G39" s="1"/>
    </row>
    <row r="40" spans="1:7" ht="25.5">
      <c r="A40" s="3" t="s">
        <v>37</v>
      </c>
      <c r="B40" s="3" t="s">
        <v>98</v>
      </c>
      <c r="C40" s="12">
        <f>5056.8*0.11</f>
        <v>556.248</v>
      </c>
      <c r="D40" s="1"/>
      <c r="E40" s="1"/>
      <c r="F40" s="1"/>
      <c r="G40" s="1"/>
    </row>
    <row r="41" spans="1:7" ht="12.75">
      <c r="A41" s="3" t="s">
        <v>38</v>
      </c>
      <c r="B41" s="3" t="s">
        <v>36</v>
      </c>
      <c r="C41" s="12">
        <f>5056.8*5</f>
        <v>25284</v>
      </c>
      <c r="D41" s="1"/>
      <c r="E41" s="1"/>
      <c r="F41" s="1"/>
      <c r="G41" s="1"/>
    </row>
    <row r="42" spans="1:7" ht="38.25">
      <c r="A42" s="3" t="s">
        <v>129</v>
      </c>
      <c r="B42" s="3" t="s">
        <v>26</v>
      </c>
      <c r="C42" s="12">
        <f>5056.8*1.31</f>
        <v>6624.408</v>
      </c>
      <c r="D42" s="1"/>
      <c r="E42" s="1"/>
      <c r="F42" s="1"/>
      <c r="G42" s="1"/>
    </row>
    <row r="43" spans="1:7" ht="25.5">
      <c r="A43" s="3" t="s">
        <v>130</v>
      </c>
      <c r="B43" s="3" t="s">
        <v>43</v>
      </c>
      <c r="C43" s="12">
        <f>5056.8*1.53</f>
        <v>7736.904</v>
      </c>
      <c r="D43" s="1"/>
      <c r="E43" s="1"/>
      <c r="F43" s="1"/>
      <c r="G43" s="1"/>
    </row>
    <row r="44" spans="1:7" ht="25.5">
      <c r="A44" s="3" t="s">
        <v>44</v>
      </c>
      <c r="B44" s="3" t="s">
        <v>99</v>
      </c>
      <c r="C44" s="12"/>
      <c r="D44" s="1"/>
      <c r="E44" s="1"/>
      <c r="F44" s="1"/>
      <c r="G44" s="1"/>
    </row>
    <row r="45" spans="1:7" ht="25.5">
      <c r="A45" s="3" t="s">
        <v>45</v>
      </c>
      <c r="B45" s="3" t="s">
        <v>46</v>
      </c>
      <c r="C45" s="12">
        <f>5056.8*0.72</f>
        <v>3640.896</v>
      </c>
      <c r="D45" s="1"/>
      <c r="E45" s="1"/>
      <c r="F45" s="1"/>
      <c r="G45" s="1"/>
    </row>
    <row r="46" spans="1:7" ht="38.25">
      <c r="A46" s="3" t="s">
        <v>47</v>
      </c>
      <c r="B46" s="3" t="s">
        <v>20</v>
      </c>
      <c r="C46" s="12">
        <f>5056.8*0.36</f>
        <v>1820.448</v>
      </c>
      <c r="D46" s="1"/>
      <c r="E46" s="1"/>
      <c r="F46" s="1"/>
      <c r="G46" s="1"/>
    </row>
    <row r="47" spans="1:7" ht="25.5">
      <c r="A47" s="3" t="s">
        <v>49</v>
      </c>
      <c r="B47" s="3" t="s">
        <v>104</v>
      </c>
      <c r="C47" s="12">
        <v>128.64</v>
      </c>
      <c r="D47" s="1"/>
      <c r="E47" s="1"/>
      <c r="F47" s="1"/>
      <c r="G47" s="1"/>
    </row>
    <row r="48" spans="1:7" ht="41.25" customHeight="1">
      <c r="A48" s="31" t="s">
        <v>122</v>
      </c>
      <c r="B48" s="32" t="s">
        <v>53</v>
      </c>
      <c r="C48" s="12">
        <f>5056.8*19.77</f>
        <v>99972.936</v>
      </c>
      <c r="D48" s="1"/>
      <c r="E48" s="1"/>
      <c r="F48" s="1"/>
      <c r="G48" s="1"/>
    </row>
    <row r="49" spans="1:7" ht="25.5">
      <c r="A49" s="3" t="s">
        <v>51</v>
      </c>
      <c r="B49" s="3" t="s">
        <v>36</v>
      </c>
      <c r="C49" s="12">
        <f>5056.8*5.26</f>
        <v>26598.768</v>
      </c>
      <c r="D49" s="1"/>
      <c r="E49" s="1"/>
      <c r="F49" s="1"/>
      <c r="G49" s="1"/>
    </row>
    <row r="50" spans="1:7" ht="12.75">
      <c r="A50" s="3" t="s">
        <v>52</v>
      </c>
      <c r="B50" s="3" t="s">
        <v>54</v>
      </c>
      <c r="C50" s="12"/>
      <c r="D50" s="1"/>
      <c r="E50" s="1"/>
      <c r="F50" s="1"/>
      <c r="G50" s="1"/>
    </row>
    <row r="51" spans="1:7" ht="12.75">
      <c r="A51" s="3" t="s">
        <v>85</v>
      </c>
      <c r="B51" s="3" t="s">
        <v>54</v>
      </c>
      <c r="C51" s="12"/>
      <c r="D51" s="1"/>
      <c r="E51" s="1"/>
      <c r="F51" s="1"/>
      <c r="G51" s="1"/>
    </row>
    <row r="52" spans="1:7" ht="25.5">
      <c r="A52" s="3" t="s">
        <v>55</v>
      </c>
      <c r="B52" s="3" t="s">
        <v>36</v>
      </c>
      <c r="C52" s="12"/>
      <c r="D52" s="1"/>
      <c r="E52" s="1"/>
      <c r="F52" s="1"/>
      <c r="G52" s="1"/>
    </row>
    <row r="53" spans="1:7" ht="12.75">
      <c r="A53" s="10" t="s">
        <v>56</v>
      </c>
      <c r="B53" s="10"/>
      <c r="C53" s="13">
        <f>SUM(C27:C52)</f>
        <v>211806.704</v>
      </c>
      <c r="D53" s="1"/>
      <c r="E53" s="1"/>
      <c r="F53" s="1"/>
      <c r="G53" s="1"/>
    </row>
    <row r="54" spans="1:7" ht="12.75">
      <c r="A54" s="3"/>
      <c r="B54" s="3"/>
      <c r="C54" s="3"/>
      <c r="D54" s="1"/>
      <c r="E54" s="1"/>
      <c r="F54" s="1"/>
      <c r="G54" s="1"/>
    </row>
    <row r="55" spans="1:7" ht="12.75">
      <c r="A55" s="10" t="s">
        <v>57</v>
      </c>
      <c r="B55" s="3"/>
      <c r="C55" s="3"/>
      <c r="D55" s="1"/>
      <c r="E55" s="1"/>
      <c r="F55" s="1"/>
      <c r="G55" s="1"/>
    </row>
    <row r="56" spans="1:7" ht="12.75">
      <c r="A56" s="3" t="s">
        <v>86</v>
      </c>
      <c r="B56" s="3" t="s">
        <v>98</v>
      </c>
      <c r="C56" s="11">
        <v>40296.24</v>
      </c>
      <c r="D56" s="1"/>
      <c r="E56" s="1"/>
      <c r="F56" s="1"/>
      <c r="G56" s="1"/>
    </row>
    <row r="57" spans="1:7" ht="12.75">
      <c r="A57" s="3" t="s">
        <v>107</v>
      </c>
      <c r="B57" s="3" t="s">
        <v>109</v>
      </c>
      <c r="C57" s="11">
        <v>3239.96</v>
      </c>
      <c r="D57" s="1"/>
      <c r="E57" s="1"/>
      <c r="F57" s="1"/>
      <c r="G57" s="1"/>
    </row>
    <row r="58" spans="1:7" ht="12.75">
      <c r="A58" s="3" t="s">
        <v>110</v>
      </c>
      <c r="B58" s="3" t="s">
        <v>109</v>
      </c>
      <c r="C58" s="11">
        <v>5451.2</v>
      </c>
      <c r="D58" s="1"/>
      <c r="E58" s="1"/>
      <c r="F58" s="1"/>
      <c r="G58" s="1"/>
    </row>
    <row r="59" spans="1:7" ht="12.75">
      <c r="A59" s="15"/>
      <c r="B59" s="15"/>
      <c r="C59" s="15"/>
      <c r="D59" s="1"/>
      <c r="E59" s="1"/>
      <c r="F59" s="1"/>
      <c r="G59" s="1"/>
    </row>
    <row r="60" spans="1:7" ht="12.75">
      <c r="A60" s="15"/>
      <c r="B60" s="15"/>
      <c r="C60" s="15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5" t="s">
        <v>58</v>
      </c>
      <c r="B62" s="5"/>
      <c r="C62" s="5"/>
      <c r="D62" s="1"/>
      <c r="E62" s="1"/>
      <c r="F62" s="1"/>
      <c r="G62" s="1"/>
    </row>
    <row r="63" spans="1:7" ht="12.75">
      <c r="A63" s="5" t="s">
        <v>88</v>
      </c>
      <c r="B63" s="5"/>
      <c r="C63" s="5"/>
      <c r="D63" s="1"/>
      <c r="E63" s="1"/>
      <c r="F63" s="1"/>
      <c r="G63" s="1"/>
    </row>
    <row r="64" spans="1:7" ht="12.75">
      <c r="A64" s="5" t="s">
        <v>59</v>
      </c>
      <c r="B64" s="5"/>
      <c r="C64" s="5"/>
      <c r="D64" s="1"/>
      <c r="E64" s="1"/>
      <c r="F64" s="1"/>
      <c r="G64" s="1"/>
    </row>
    <row r="65" spans="1:7" ht="12.75">
      <c r="A65" s="5" t="s">
        <v>60</v>
      </c>
      <c r="B65" s="5"/>
      <c r="C65" s="5"/>
      <c r="D65" s="1"/>
      <c r="E65" s="1"/>
      <c r="F65" s="1"/>
      <c r="G65" s="1"/>
    </row>
    <row r="66" spans="1:7" ht="12.75">
      <c r="A66" s="5" t="s">
        <v>61</v>
      </c>
      <c r="B66" s="4"/>
      <c r="C66" s="4"/>
      <c r="D66" s="1"/>
      <c r="E66" s="1"/>
      <c r="F66" s="1"/>
      <c r="G66" s="1"/>
    </row>
    <row r="67" spans="1:7" ht="12.75">
      <c r="A67" s="5" t="s">
        <v>62</v>
      </c>
      <c r="B67" s="4"/>
      <c r="C67" s="4"/>
      <c r="D67" s="1"/>
      <c r="E67" s="1"/>
      <c r="F67" s="1"/>
      <c r="G67" s="1"/>
    </row>
    <row r="68" spans="1:7" ht="12.75">
      <c r="A68" s="5" t="s">
        <v>63</v>
      </c>
      <c r="B68" s="4"/>
      <c r="C68" s="4"/>
      <c r="D68" s="1"/>
      <c r="E68" s="1"/>
      <c r="F68" s="1"/>
      <c r="G68" s="1"/>
    </row>
    <row r="69" spans="1:7" ht="12.75">
      <c r="A69" s="4"/>
      <c r="B69" s="4"/>
      <c r="C69" s="4"/>
      <c r="D69" s="1"/>
      <c r="E69" s="1"/>
      <c r="F69" s="1"/>
      <c r="G69" s="1"/>
    </row>
    <row r="70" spans="1:7" ht="12.75">
      <c r="A70" s="5"/>
      <c r="B70" s="4"/>
      <c r="C70" s="4"/>
      <c r="D70" s="1"/>
      <c r="E70" s="1"/>
      <c r="F70" s="1"/>
      <c r="G70" s="1"/>
    </row>
    <row r="71" spans="1:7" ht="12.75">
      <c r="A71" s="4"/>
      <c r="B71" s="4"/>
      <c r="C71" s="4"/>
      <c r="D71" s="1"/>
      <c r="E71" s="1"/>
      <c r="F71" s="1"/>
      <c r="G71" s="1"/>
    </row>
    <row r="72" spans="1:7" ht="12.75">
      <c r="A72" s="5" t="s">
        <v>71</v>
      </c>
      <c r="B72" s="5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4"/>
      <c r="B77" s="4"/>
      <c r="C77" s="4"/>
      <c r="D77" s="1"/>
      <c r="E77" s="1"/>
      <c r="F77" s="1"/>
      <c r="G77" s="1"/>
    </row>
    <row r="78" spans="1:7" ht="12.75">
      <c r="A78" s="4"/>
      <c r="B78" s="4"/>
      <c r="C78" s="4"/>
      <c r="D78" s="1"/>
      <c r="E78" s="1"/>
      <c r="F78" s="1"/>
      <c r="G78" s="1"/>
    </row>
    <row r="79" spans="1:7" ht="12.75">
      <c r="A79" s="4"/>
      <c r="B79" s="4"/>
      <c r="C79" s="4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</sheetData>
  <mergeCells count="4">
    <mergeCell ref="A20:C20"/>
    <mergeCell ref="A21:C21"/>
    <mergeCell ref="A33:A34"/>
    <mergeCell ref="B33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08"/>
  <sheetViews>
    <sheetView workbookViewId="0" topLeftCell="A22">
      <selection activeCell="D27" sqref="D27:D41"/>
    </sheetView>
  </sheetViews>
  <sheetFormatPr defaultColWidth="9.140625" defaultRowHeight="12.75"/>
  <cols>
    <col min="1" max="1" width="48.140625" style="0" customWidth="1"/>
    <col min="2" max="2" width="18.57421875" style="0" customWidth="1"/>
    <col min="3" max="3" width="19.57421875" style="0" customWidth="1"/>
    <col min="4" max="4" width="19.851562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72</v>
      </c>
    </row>
    <row r="12" ht="12.75">
      <c r="A12" t="s">
        <v>73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3" t="s">
        <v>101</v>
      </c>
      <c r="E13" s="1"/>
      <c r="F13" s="1"/>
      <c r="G13" s="1"/>
    </row>
    <row r="14" spans="1:7" ht="12.75">
      <c r="A14" s="3" t="s">
        <v>1</v>
      </c>
      <c r="B14" s="11">
        <v>240376.25</v>
      </c>
      <c r="C14" s="11">
        <v>104634.6</v>
      </c>
      <c r="D14" s="11">
        <v>16051.56</v>
      </c>
      <c r="E14" s="1"/>
      <c r="F14" s="1"/>
      <c r="G14" s="1"/>
    </row>
    <row r="15" spans="1:7" ht="12.75">
      <c r="A15" s="3" t="s">
        <v>2</v>
      </c>
      <c r="B15" s="11">
        <f>B14-B17</f>
        <v>240376.25</v>
      </c>
      <c r="C15" s="11">
        <f>C14-C17</f>
        <v>104634.6</v>
      </c>
      <c r="D15" s="11">
        <f>D14-D17</f>
        <v>16051.56</v>
      </c>
      <c r="E15" s="1"/>
      <c r="F15" s="1"/>
      <c r="G15" s="1"/>
    </row>
    <row r="16" spans="1:7" ht="12.75">
      <c r="A16" s="3" t="s">
        <v>3</v>
      </c>
      <c r="B16" s="11"/>
      <c r="C16" s="11"/>
      <c r="D16" s="11"/>
      <c r="E16" s="1"/>
      <c r="F16" s="1"/>
      <c r="G16" s="1"/>
    </row>
    <row r="17" spans="1:7" ht="12.75">
      <c r="A17" s="3" t="s">
        <v>4</v>
      </c>
      <c r="B17" s="11">
        <v>0</v>
      </c>
      <c r="C17" s="11">
        <v>0</v>
      </c>
      <c r="D17" s="11">
        <v>0</v>
      </c>
      <c r="E17" s="1"/>
      <c r="F17" s="1"/>
      <c r="G17" s="1"/>
    </row>
    <row r="18" spans="1:7" ht="12.75">
      <c r="A18" s="3" t="s">
        <v>5</v>
      </c>
      <c r="B18" s="12">
        <f>D53+D55+D56</f>
        <v>418629.164</v>
      </c>
      <c r="C18" s="11"/>
      <c r="D18" s="1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53" t="s">
        <v>10</v>
      </c>
      <c r="B23" s="54"/>
      <c r="C23" s="3" t="s">
        <v>11</v>
      </c>
      <c r="D23" s="3" t="s">
        <v>12</v>
      </c>
      <c r="E23" s="1"/>
      <c r="F23" s="1"/>
      <c r="G23" s="1"/>
    </row>
    <row r="24" spans="1:7" ht="12.75">
      <c r="A24" s="18"/>
      <c r="B24" s="24"/>
      <c r="C24" s="24"/>
      <c r="D24" s="21"/>
      <c r="E24" s="1"/>
      <c r="F24" s="1"/>
      <c r="G24" s="1"/>
    </row>
    <row r="25" spans="1:7" ht="12.75">
      <c r="A25" s="19" t="s">
        <v>13</v>
      </c>
      <c r="B25" s="16"/>
      <c r="C25" s="17"/>
      <c r="D25" s="22"/>
      <c r="E25" s="1"/>
      <c r="F25" s="1"/>
      <c r="G25" s="1"/>
    </row>
    <row r="26" spans="1:7" ht="12.75">
      <c r="A26" s="20" t="s">
        <v>14</v>
      </c>
      <c r="B26" s="25"/>
      <c r="C26" s="26"/>
      <c r="D26" s="23"/>
      <c r="E26" s="1"/>
      <c r="F26" s="1"/>
      <c r="G26" s="1"/>
    </row>
    <row r="27" spans="1:7" ht="25.5" customHeight="1">
      <c r="A27" s="55" t="s">
        <v>15</v>
      </c>
      <c r="B27" s="56"/>
      <c r="C27" s="3" t="s">
        <v>16</v>
      </c>
      <c r="D27" s="12">
        <f>9928.8*1.82</f>
        <v>18070.416</v>
      </c>
      <c r="E27" s="1"/>
      <c r="F27" s="1"/>
      <c r="G27" s="14"/>
    </row>
    <row r="28" spans="1:7" ht="12.75">
      <c r="A28" s="55" t="s">
        <v>17</v>
      </c>
      <c r="B28" s="56"/>
      <c r="C28" s="3" t="s">
        <v>18</v>
      </c>
      <c r="D28" s="12">
        <f>9928.8*0.46</f>
        <v>4567.248</v>
      </c>
      <c r="E28" s="1"/>
      <c r="F28" s="1"/>
      <c r="G28" s="1"/>
    </row>
    <row r="29" spans="1:7" ht="12.75">
      <c r="A29" s="53" t="s">
        <v>100</v>
      </c>
      <c r="B29" s="54"/>
      <c r="C29" s="3" t="s">
        <v>20</v>
      </c>
      <c r="D29" s="12"/>
      <c r="E29" s="1"/>
      <c r="F29" s="1"/>
      <c r="G29" s="1"/>
    </row>
    <row r="30" spans="1:7" ht="12.75">
      <c r="A30" s="55" t="s">
        <v>21</v>
      </c>
      <c r="B30" s="56"/>
      <c r="C30" s="3" t="s">
        <v>22</v>
      </c>
      <c r="D30" s="12">
        <f>9928.8*0.16</f>
        <v>1588.608</v>
      </c>
      <c r="E30" s="1"/>
      <c r="F30" s="1"/>
      <c r="G30" s="1"/>
    </row>
    <row r="31" spans="1:7" ht="12.75">
      <c r="A31" s="55" t="s">
        <v>23</v>
      </c>
      <c r="B31" s="56"/>
      <c r="C31" s="3" t="s">
        <v>24</v>
      </c>
      <c r="D31" s="12">
        <f>9928.8*0.18</f>
        <v>1787.1839999999997</v>
      </c>
      <c r="E31" s="1"/>
      <c r="F31" s="1"/>
      <c r="G31" s="1"/>
    </row>
    <row r="32" spans="1:7" ht="12.75">
      <c r="A32" s="55" t="s">
        <v>25</v>
      </c>
      <c r="B32" s="56"/>
      <c r="C32" s="3" t="s">
        <v>26</v>
      </c>
      <c r="D32" s="12">
        <f>(9928.8*0.14)+733.72</f>
        <v>2123.752</v>
      </c>
      <c r="E32" s="1"/>
      <c r="F32" s="1"/>
      <c r="G32" s="1"/>
    </row>
    <row r="33" spans="1:7" ht="25.5" customHeight="1">
      <c r="A33" s="57" t="s">
        <v>27</v>
      </c>
      <c r="B33" s="58"/>
      <c r="C33" s="61" t="s">
        <v>28</v>
      </c>
      <c r="D33" s="12">
        <f>9928.8*1.64</f>
        <v>16283.231999999998</v>
      </c>
      <c r="E33" s="1"/>
      <c r="F33" s="1"/>
      <c r="G33" s="1"/>
    </row>
    <row r="34" spans="1:7" ht="12.75">
      <c r="A34" s="59"/>
      <c r="B34" s="60"/>
      <c r="C34" s="62"/>
      <c r="D34" s="12">
        <v>13697.55</v>
      </c>
      <c r="E34" s="1"/>
      <c r="F34" s="1"/>
      <c r="G34" s="1"/>
    </row>
    <row r="35" spans="1:7" ht="25.5">
      <c r="A35" s="55" t="s">
        <v>29</v>
      </c>
      <c r="B35" s="56"/>
      <c r="C35" s="3" t="s">
        <v>30</v>
      </c>
      <c r="D35" s="12">
        <f>9928.8*0.78</f>
        <v>7744.464</v>
      </c>
      <c r="E35" s="1"/>
      <c r="F35" s="1"/>
      <c r="G35" s="1"/>
    </row>
    <row r="36" spans="1:7" ht="38.25" customHeight="1">
      <c r="A36" s="55" t="s">
        <v>31</v>
      </c>
      <c r="B36" s="56"/>
      <c r="C36" s="3" t="s">
        <v>30</v>
      </c>
      <c r="D36" s="12">
        <f>9928.8*0.78</f>
        <v>7744.464</v>
      </c>
      <c r="E36" s="1"/>
      <c r="F36" s="1"/>
      <c r="G36" s="1"/>
    </row>
    <row r="37" spans="1:7" ht="25.5">
      <c r="A37" s="55" t="s">
        <v>32</v>
      </c>
      <c r="B37" s="56"/>
      <c r="C37" s="3" t="s">
        <v>33</v>
      </c>
      <c r="D37" s="12">
        <f>9928.8*0.05</f>
        <v>496.44</v>
      </c>
      <c r="E37" s="1"/>
      <c r="F37" s="1"/>
      <c r="G37" s="1"/>
    </row>
    <row r="38" spans="1:7" ht="25.5" customHeight="1">
      <c r="A38" s="55" t="s">
        <v>50</v>
      </c>
      <c r="B38" s="56"/>
      <c r="C38" s="3" t="s">
        <v>34</v>
      </c>
      <c r="D38" s="12">
        <f>0.07*9928.8</f>
        <v>695.016</v>
      </c>
      <c r="E38" s="1"/>
      <c r="F38" s="1"/>
      <c r="G38" s="1"/>
    </row>
    <row r="39" spans="1:7" ht="18.75" customHeight="1">
      <c r="A39" s="55" t="s">
        <v>35</v>
      </c>
      <c r="B39" s="56"/>
      <c r="C39" s="3" t="s">
        <v>36</v>
      </c>
      <c r="D39" s="12">
        <f>9928.8*0.34</f>
        <v>3375.792</v>
      </c>
      <c r="E39" s="1"/>
      <c r="F39" s="1"/>
      <c r="G39" s="1"/>
    </row>
    <row r="40" spans="1:7" ht="20.25" customHeight="1">
      <c r="A40" s="55" t="s">
        <v>37</v>
      </c>
      <c r="B40" s="56"/>
      <c r="C40" s="3" t="s">
        <v>98</v>
      </c>
      <c r="D40" s="12">
        <f>9928.8*0.11</f>
        <v>1092.168</v>
      </c>
      <c r="E40" s="1"/>
      <c r="F40" s="1"/>
      <c r="G40" s="1"/>
    </row>
    <row r="41" spans="1:7" ht="12.75">
      <c r="A41" s="55" t="s">
        <v>38</v>
      </c>
      <c r="B41" s="56"/>
      <c r="C41" s="3" t="s">
        <v>36</v>
      </c>
      <c r="D41" s="12">
        <f>9928.8*5</f>
        <v>49644</v>
      </c>
      <c r="E41" s="1"/>
      <c r="F41" s="1"/>
      <c r="G41" s="1"/>
    </row>
    <row r="42" spans="1:7" ht="44.25" customHeight="1">
      <c r="A42" s="55" t="s">
        <v>119</v>
      </c>
      <c r="B42" s="56"/>
      <c r="C42" s="3" t="s">
        <v>26</v>
      </c>
      <c r="D42" s="12">
        <f>9928.8*1.31</f>
        <v>13006.728</v>
      </c>
      <c r="E42" s="1"/>
      <c r="F42" s="1"/>
      <c r="G42" s="1"/>
    </row>
    <row r="43" spans="1:7" ht="41.25" customHeight="1">
      <c r="A43" s="55" t="s">
        <v>118</v>
      </c>
      <c r="B43" s="56"/>
      <c r="C43" s="3" t="s">
        <v>43</v>
      </c>
      <c r="D43" s="12">
        <f>9928.8*1.53</f>
        <v>15191.063999999998</v>
      </c>
      <c r="E43" s="1"/>
      <c r="F43" s="1"/>
      <c r="G43" s="1"/>
    </row>
    <row r="44" spans="1:7" ht="27" customHeight="1">
      <c r="A44" s="55" t="s">
        <v>120</v>
      </c>
      <c r="B44" s="56"/>
      <c r="C44" s="3" t="s">
        <v>173</v>
      </c>
      <c r="D44" s="12"/>
      <c r="E44" s="1"/>
      <c r="F44" s="1"/>
      <c r="G44" s="1"/>
    </row>
    <row r="45" spans="1:7" ht="25.5">
      <c r="A45" s="55" t="s">
        <v>45</v>
      </c>
      <c r="B45" s="56"/>
      <c r="C45" s="3" t="s">
        <v>46</v>
      </c>
      <c r="D45" s="12">
        <f>9928.8*0.72</f>
        <v>7148.735999999999</v>
      </c>
      <c r="E45" s="1"/>
      <c r="F45" s="1"/>
      <c r="G45" s="1"/>
    </row>
    <row r="46" spans="1:7" ht="33" customHeight="1">
      <c r="A46" s="55" t="s">
        <v>123</v>
      </c>
      <c r="B46" s="56"/>
      <c r="C46" s="3" t="s">
        <v>20</v>
      </c>
      <c r="D46" s="12">
        <f>(9928.8*0.36)+0</f>
        <v>3574.3679999999995</v>
      </c>
      <c r="E46" s="1"/>
      <c r="F46" s="1"/>
      <c r="G46" s="1"/>
    </row>
    <row r="47" spans="1:7" ht="25.5" customHeight="1">
      <c r="A47" s="55" t="s">
        <v>49</v>
      </c>
      <c r="B47" s="56"/>
      <c r="C47" s="3" t="s">
        <v>127</v>
      </c>
      <c r="D47" s="12">
        <v>1439.44</v>
      </c>
      <c r="E47" s="1"/>
      <c r="F47" s="1"/>
      <c r="G47" s="1"/>
    </row>
    <row r="48" spans="1:7" ht="28.5" customHeight="1">
      <c r="A48" s="55" t="s">
        <v>122</v>
      </c>
      <c r="B48" s="56"/>
      <c r="C48" s="3" t="s">
        <v>53</v>
      </c>
      <c r="D48" s="12">
        <f>9928.8*19.77</f>
        <v>196292.376</v>
      </c>
      <c r="E48" s="1"/>
      <c r="F48" s="1"/>
      <c r="G48" s="1"/>
    </row>
    <row r="49" spans="1:7" ht="12.75">
      <c r="A49" s="55" t="s">
        <v>51</v>
      </c>
      <c r="B49" s="56"/>
      <c r="C49" s="3" t="s">
        <v>36</v>
      </c>
      <c r="D49" s="12">
        <f>9928.8*5.26</f>
        <v>52225.488</v>
      </c>
      <c r="E49" s="1"/>
      <c r="F49" s="1"/>
      <c r="G49" s="1"/>
    </row>
    <row r="50" spans="1:7" ht="12.75">
      <c r="A50" s="55" t="s">
        <v>52</v>
      </c>
      <c r="B50" s="56"/>
      <c r="C50" s="3" t="s">
        <v>54</v>
      </c>
      <c r="D50" s="12"/>
      <c r="E50" s="1"/>
      <c r="F50" s="1"/>
      <c r="G50" s="1"/>
    </row>
    <row r="51" spans="1:7" ht="12.75">
      <c r="A51" s="55" t="s">
        <v>85</v>
      </c>
      <c r="B51" s="56"/>
      <c r="C51" s="3" t="s">
        <v>54</v>
      </c>
      <c r="D51" s="12"/>
      <c r="E51" s="1"/>
      <c r="F51" s="1"/>
      <c r="G51" s="1"/>
    </row>
    <row r="52" spans="1:7" ht="25.5" customHeight="1">
      <c r="A52" s="55" t="s">
        <v>55</v>
      </c>
      <c r="B52" s="56"/>
      <c r="C52" s="3" t="s">
        <v>36</v>
      </c>
      <c r="D52" s="12"/>
      <c r="E52" s="1"/>
      <c r="F52" s="1"/>
      <c r="G52" s="1"/>
    </row>
    <row r="53" spans="1:7" ht="12.75">
      <c r="A53" s="63" t="s">
        <v>56</v>
      </c>
      <c r="B53" s="64"/>
      <c r="C53" s="10"/>
      <c r="D53" s="13">
        <f>SUM(D27:D52)</f>
        <v>417788.534</v>
      </c>
      <c r="E53" s="1"/>
      <c r="F53" s="1"/>
      <c r="G53" s="1"/>
    </row>
    <row r="54" spans="1:7" ht="12.75">
      <c r="A54" s="55" t="s">
        <v>102</v>
      </c>
      <c r="B54" s="56"/>
      <c r="C54" s="3"/>
      <c r="D54" s="11"/>
      <c r="E54" s="1"/>
      <c r="F54" s="1"/>
      <c r="G54" s="1"/>
    </row>
    <row r="55" spans="1:7" ht="12.75">
      <c r="A55" s="66" t="s">
        <v>116</v>
      </c>
      <c r="B55" s="66"/>
      <c r="C55" s="3" t="s">
        <v>20</v>
      </c>
      <c r="D55" s="11">
        <v>840.63</v>
      </c>
      <c r="E55" s="1"/>
      <c r="F55" s="1"/>
      <c r="G55" s="1"/>
    </row>
    <row r="56" spans="1:7" ht="12.75">
      <c r="A56" s="66"/>
      <c r="B56" s="66"/>
      <c r="C56" s="3"/>
      <c r="D56" s="11"/>
      <c r="E56" s="1"/>
      <c r="F56" s="1"/>
      <c r="G56" s="1"/>
    </row>
    <row r="57" spans="1:7" ht="12.75">
      <c r="A57" s="67"/>
      <c r="B57" s="67"/>
      <c r="C57" s="1"/>
      <c r="D57" s="1"/>
      <c r="E57" s="1"/>
      <c r="F57" s="1"/>
      <c r="G57" s="1"/>
    </row>
    <row r="58" spans="1:7" ht="12.75">
      <c r="A58" s="67"/>
      <c r="B58" s="67"/>
      <c r="C58" s="1"/>
      <c r="D58" s="1"/>
      <c r="E58" s="1"/>
      <c r="F58" s="1"/>
      <c r="G58" s="1"/>
    </row>
    <row r="59" spans="1:7" ht="12.75">
      <c r="A59" s="65"/>
      <c r="B59" s="65"/>
      <c r="C59" s="1"/>
      <c r="D59" s="1"/>
      <c r="E59" s="1"/>
      <c r="F59" s="1"/>
      <c r="G59" s="1"/>
    </row>
    <row r="60" spans="1:7" ht="12.75">
      <c r="A60" s="5" t="s">
        <v>58</v>
      </c>
      <c r="B60" s="5"/>
      <c r="C60" s="5"/>
      <c r="D60" s="1"/>
      <c r="E60" s="1"/>
      <c r="F60" s="1"/>
      <c r="G60" s="1"/>
    </row>
    <row r="61" spans="1:7" ht="12.75">
      <c r="A61" s="5" t="s">
        <v>88</v>
      </c>
      <c r="B61" s="5"/>
      <c r="C61" s="5"/>
      <c r="D61" s="1"/>
      <c r="E61" s="1"/>
      <c r="F61" s="1"/>
      <c r="G61" s="1"/>
    </row>
    <row r="62" spans="1:7" ht="12.75">
      <c r="A62" s="5" t="s">
        <v>59</v>
      </c>
      <c r="B62" s="5"/>
      <c r="C62" s="5"/>
      <c r="D62" s="1"/>
      <c r="E62" s="1"/>
      <c r="F62" s="1"/>
      <c r="G62" s="1"/>
    </row>
    <row r="63" spans="1:7" ht="12.75">
      <c r="A63" s="5" t="s">
        <v>89</v>
      </c>
      <c r="B63" s="5"/>
      <c r="C63" s="5"/>
      <c r="D63" s="1"/>
      <c r="E63" s="1"/>
      <c r="F63" s="1"/>
      <c r="G63" s="1"/>
    </row>
    <row r="64" spans="1:7" ht="12.75">
      <c r="A64" s="5" t="s">
        <v>61</v>
      </c>
      <c r="B64" s="4"/>
      <c r="C64" s="4"/>
      <c r="D64" s="1"/>
      <c r="E64" s="1"/>
      <c r="F64" s="1"/>
      <c r="G64" s="1"/>
    </row>
    <row r="65" spans="1:7" ht="12.75">
      <c r="A65" s="5" t="s">
        <v>62</v>
      </c>
      <c r="B65" s="4"/>
      <c r="C65" s="4"/>
      <c r="D65" s="1"/>
      <c r="E65" s="1"/>
      <c r="F65" s="1"/>
      <c r="G65" s="1"/>
    </row>
    <row r="66" spans="1:7" ht="12.75">
      <c r="A66" s="5" t="s">
        <v>63</v>
      </c>
      <c r="B66" s="4"/>
      <c r="C66" s="4"/>
      <c r="D66" s="1"/>
      <c r="E66" s="1"/>
      <c r="F66" s="1"/>
      <c r="G66" s="1"/>
    </row>
    <row r="67" spans="1:7" ht="12.75">
      <c r="A67" s="4"/>
      <c r="B67" s="4"/>
      <c r="C67" s="4"/>
      <c r="D67" s="1"/>
      <c r="E67" s="1"/>
      <c r="F67" s="1"/>
      <c r="G67" s="1"/>
    </row>
    <row r="68" spans="1:7" ht="12.75">
      <c r="A68" s="5"/>
      <c r="B68" s="4"/>
      <c r="C68" s="4"/>
      <c r="D68" s="1"/>
      <c r="E68" s="1"/>
      <c r="F68" s="1"/>
      <c r="G68" s="1"/>
    </row>
    <row r="69" spans="1:7" ht="12.75">
      <c r="A69" s="5" t="s">
        <v>71</v>
      </c>
      <c r="B69" s="5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4"/>
      <c r="B71" s="4"/>
      <c r="C71" s="4"/>
      <c r="D71" s="1"/>
      <c r="E71" s="1"/>
      <c r="F71" s="1"/>
      <c r="G71" s="1"/>
    </row>
    <row r="72" spans="1:7" ht="12.75">
      <c r="A72" s="4"/>
      <c r="B72" s="4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4"/>
      <c r="B77" s="4"/>
      <c r="C77" s="4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</sheetData>
  <mergeCells count="36">
    <mergeCell ref="A52:B52"/>
    <mergeCell ref="A53:B53"/>
    <mergeCell ref="A54:B54"/>
    <mergeCell ref="A59:B59"/>
    <mergeCell ref="A55:B55"/>
    <mergeCell ref="A56:B56"/>
    <mergeCell ref="A57:B57"/>
    <mergeCell ref="A58:B58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4"/>
    <mergeCell ref="C33:C34"/>
    <mergeCell ref="A35:B35"/>
    <mergeCell ref="A28:B28"/>
    <mergeCell ref="A29:B29"/>
    <mergeCell ref="A30:B30"/>
    <mergeCell ref="A31:B31"/>
    <mergeCell ref="A20:C20"/>
    <mergeCell ref="A21:C21"/>
    <mergeCell ref="A23:B23"/>
    <mergeCell ref="A27:B27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G108"/>
  <sheetViews>
    <sheetView workbookViewId="0" topLeftCell="A24">
      <selection activeCell="D42" sqref="D42:D47"/>
    </sheetView>
  </sheetViews>
  <sheetFormatPr defaultColWidth="9.140625" defaultRowHeight="12.75"/>
  <cols>
    <col min="1" max="1" width="48.140625" style="0" customWidth="1"/>
    <col min="2" max="2" width="18.57421875" style="0" customWidth="1"/>
    <col min="3" max="3" width="19.57421875" style="0" customWidth="1"/>
    <col min="4" max="4" width="19.851562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81</v>
      </c>
    </row>
    <row r="12" ht="12.75">
      <c r="A12" t="s">
        <v>82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3" t="s">
        <v>125</v>
      </c>
      <c r="E13" s="1"/>
      <c r="F13" s="1"/>
      <c r="G13" s="1"/>
    </row>
    <row r="14" spans="1:7" ht="12.75">
      <c r="A14" s="3" t="s">
        <v>1</v>
      </c>
      <c r="B14" s="11">
        <v>172656.04</v>
      </c>
      <c r="C14" s="11">
        <v>104634.6</v>
      </c>
      <c r="D14" s="11">
        <v>11529.42</v>
      </c>
      <c r="E14" s="1"/>
      <c r="F14" s="1"/>
      <c r="G14" s="1"/>
    </row>
    <row r="15" spans="1:7" ht="12.75">
      <c r="A15" s="3" t="s">
        <v>2</v>
      </c>
      <c r="B15" s="11">
        <f>B14-B17</f>
        <v>158268.04</v>
      </c>
      <c r="C15" s="11">
        <f>C14-C17</f>
        <v>102749.70000000001</v>
      </c>
      <c r="D15" s="11">
        <f>D14-D17</f>
        <v>5764.71</v>
      </c>
      <c r="E15" s="1"/>
      <c r="F15" s="1"/>
      <c r="G15" s="1"/>
    </row>
    <row r="16" spans="1:7" ht="12.75">
      <c r="A16" s="3" t="s">
        <v>3</v>
      </c>
      <c r="B16" s="11"/>
      <c r="C16" s="11"/>
      <c r="D16" s="11"/>
      <c r="E16" s="1"/>
      <c r="F16" s="1"/>
      <c r="G16" s="1"/>
    </row>
    <row r="17" spans="1:7" ht="12.75">
      <c r="A17" s="3" t="s">
        <v>4</v>
      </c>
      <c r="B17" s="11">
        <v>14388</v>
      </c>
      <c r="C17" s="11">
        <v>1884.9</v>
      </c>
      <c r="D17" s="11">
        <v>5764.71</v>
      </c>
      <c r="E17" s="1"/>
      <c r="F17" s="1"/>
      <c r="G17" s="1"/>
    </row>
    <row r="18" spans="1:7" ht="12.75">
      <c r="A18" s="3" t="s">
        <v>5</v>
      </c>
      <c r="B18" s="12">
        <f>D53+D55+D56</f>
        <v>301019.46800000005</v>
      </c>
      <c r="C18" s="11"/>
      <c r="D18" s="11"/>
      <c r="E18" s="1"/>
      <c r="F18" s="1"/>
      <c r="G18" s="1"/>
    </row>
    <row r="19" spans="1:7" ht="12.75">
      <c r="A19" s="18"/>
      <c r="B19" s="24"/>
      <c r="C19" s="24"/>
      <c r="D19" s="21"/>
      <c r="E19" s="1"/>
      <c r="F19" s="1"/>
      <c r="G19" s="1"/>
    </row>
    <row r="20" spans="1:7" ht="13.5" customHeight="1">
      <c r="A20" s="72" t="s">
        <v>9</v>
      </c>
      <c r="B20" s="73"/>
      <c r="C20" s="73"/>
      <c r="D20" s="27"/>
      <c r="E20" s="1"/>
      <c r="F20" s="1"/>
      <c r="G20" s="1"/>
    </row>
    <row r="21" spans="1:7" ht="15" customHeight="1">
      <c r="A21" s="74" t="s">
        <v>90</v>
      </c>
      <c r="B21" s="75"/>
      <c r="C21" s="75"/>
      <c r="D21" s="27"/>
      <c r="E21" s="1"/>
      <c r="F21" s="1"/>
      <c r="G21" s="1"/>
    </row>
    <row r="22" spans="1:7" ht="12.75">
      <c r="A22" s="30"/>
      <c r="B22" s="28"/>
      <c r="C22" s="28"/>
      <c r="D22" s="29"/>
      <c r="E22" s="1"/>
      <c r="F22" s="1"/>
      <c r="G22" s="1"/>
    </row>
    <row r="23" spans="1:7" ht="12.75">
      <c r="A23" s="53" t="s">
        <v>10</v>
      </c>
      <c r="B23" s="54"/>
      <c r="C23" s="3" t="s">
        <v>11</v>
      </c>
      <c r="D23" s="3" t="s">
        <v>12</v>
      </c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5" t="s">
        <v>13</v>
      </c>
      <c r="B25" s="5"/>
      <c r="C25" s="4"/>
      <c r="D25" s="4"/>
      <c r="E25" s="1"/>
      <c r="F25" s="1"/>
      <c r="G25" s="1"/>
    </row>
    <row r="26" spans="1:7" ht="12.75">
      <c r="A26" s="5" t="s">
        <v>14</v>
      </c>
      <c r="B26" s="5"/>
      <c r="C26" s="4"/>
      <c r="D26" s="4"/>
      <c r="E26" s="1"/>
      <c r="F26" s="1"/>
      <c r="G26" s="1"/>
    </row>
    <row r="27" spans="1:7" ht="25.5" customHeight="1">
      <c r="A27" s="55" t="s">
        <v>15</v>
      </c>
      <c r="B27" s="56"/>
      <c r="C27" s="3" t="s">
        <v>16</v>
      </c>
      <c r="D27" s="12">
        <f>7131.6*1.82</f>
        <v>12979.512</v>
      </c>
      <c r="E27" s="1"/>
      <c r="F27" s="1"/>
      <c r="G27" s="14"/>
    </row>
    <row r="28" spans="1:7" ht="12.75">
      <c r="A28" s="55" t="s">
        <v>17</v>
      </c>
      <c r="B28" s="56"/>
      <c r="C28" s="3" t="s">
        <v>18</v>
      </c>
      <c r="D28" s="12">
        <f>7131.6*0.46</f>
        <v>3280.5360000000005</v>
      </c>
      <c r="E28" s="1"/>
      <c r="F28" s="1"/>
      <c r="G28" s="1"/>
    </row>
    <row r="29" spans="1:7" ht="12.75">
      <c r="A29" s="53" t="s">
        <v>100</v>
      </c>
      <c r="B29" s="54"/>
      <c r="C29" s="3" t="s">
        <v>20</v>
      </c>
      <c r="D29" s="12"/>
      <c r="E29" s="1"/>
      <c r="F29" s="1"/>
      <c r="G29" s="1"/>
    </row>
    <row r="30" spans="1:7" ht="12.75">
      <c r="A30" s="55" t="s">
        <v>21</v>
      </c>
      <c r="B30" s="56"/>
      <c r="C30" s="3" t="s">
        <v>22</v>
      </c>
      <c r="D30" s="12">
        <f>7131.6*0.16</f>
        <v>1141.056</v>
      </c>
      <c r="E30" s="1"/>
      <c r="F30" s="1"/>
      <c r="G30" s="1"/>
    </row>
    <row r="31" spans="1:7" ht="12.75">
      <c r="A31" s="55" t="s">
        <v>23</v>
      </c>
      <c r="B31" s="56"/>
      <c r="C31" s="3" t="s">
        <v>24</v>
      </c>
      <c r="D31" s="12">
        <f>7131.6*0.18</f>
        <v>1283.688</v>
      </c>
      <c r="E31" s="1"/>
      <c r="F31" s="1"/>
      <c r="G31" s="1"/>
    </row>
    <row r="32" spans="1:7" ht="12.75">
      <c r="A32" s="55" t="s">
        <v>25</v>
      </c>
      <c r="B32" s="56"/>
      <c r="C32" s="3" t="s">
        <v>26</v>
      </c>
      <c r="D32" s="12">
        <f>7131.6*0.14</f>
        <v>998.4240000000001</v>
      </c>
      <c r="E32" s="1"/>
      <c r="F32" s="1"/>
      <c r="G32" s="1"/>
    </row>
    <row r="33" spans="1:7" ht="25.5" customHeight="1">
      <c r="A33" s="57" t="s">
        <v>27</v>
      </c>
      <c r="B33" s="58"/>
      <c r="C33" s="61" t="s">
        <v>28</v>
      </c>
      <c r="D33" s="12">
        <f>7131.6*1.64</f>
        <v>11695.824</v>
      </c>
      <c r="E33" s="1"/>
      <c r="F33" s="1"/>
      <c r="G33" s="1"/>
    </row>
    <row r="34" spans="1:7" ht="12.75">
      <c r="A34" s="59"/>
      <c r="B34" s="60"/>
      <c r="C34" s="62"/>
      <c r="D34" s="12">
        <v>9842.19</v>
      </c>
      <c r="E34" s="1"/>
      <c r="F34" s="1"/>
      <c r="G34" s="1"/>
    </row>
    <row r="35" spans="1:7" ht="25.5">
      <c r="A35" s="55" t="s">
        <v>29</v>
      </c>
      <c r="B35" s="56"/>
      <c r="C35" s="3" t="s">
        <v>30</v>
      </c>
      <c r="D35" s="12">
        <f>7131.6*0.87</f>
        <v>6204.492</v>
      </c>
      <c r="E35" s="1"/>
      <c r="F35" s="1"/>
      <c r="G35" s="1"/>
    </row>
    <row r="36" spans="1:7" ht="38.25" customHeight="1">
      <c r="A36" s="55" t="s">
        <v>31</v>
      </c>
      <c r="B36" s="56"/>
      <c r="C36" s="3" t="s">
        <v>30</v>
      </c>
      <c r="D36" s="12">
        <f>7131.6*0.69</f>
        <v>4920.804</v>
      </c>
      <c r="E36" s="1"/>
      <c r="F36" s="1"/>
      <c r="G36" s="1"/>
    </row>
    <row r="37" spans="1:7" ht="25.5">
      <c r="A37" s="55" t="s">
        <v>32</v>
      </c>
      <c r="B37" s="56"/>
      <c r="C37" s="3" t="s">
        <v>33</v>
      </c>
      <c r="D37" s="12">
        <f>7131.6*0.05</f>
        <v>356.58000000000004</v>
      </c>
      <c r="E37" s="1"/>
      <c r="F37" s="1"/>
      <c r="G37" s="1"/>
    </row>
    <row r="38" spans="1:7" ht="25.5" customHeight="1">
      <c r="A38" s="55" t="s">
        <v>50</v>
      </c>
      <c r="B38" s="56"/>
      <c r="C38" s="3" t="s">
        <v>34</v>
      </c>
      <c r="D38" s="12">
        <f>0.07*7131.6</f>
        <v>499.21200000000005</v>
      </c>
      <c r="E38" s="1"/>
      <c r="F38" s="1"/>
      <c r="G38" s="1"/>
    </row>
    <row r="39" spans="1:7" ht="18.75" customHeight="1">
      <c r="A39" s="55" t="s">
        <v>35</v>
      </c>
      <c r="B39" s="56"/>
      <c r="C39" s="3" t="s">
        <v>36</v>
      </c>
      <c r="D39" s="12">
        <f>7131.6*0.34</f>
        <v>2424.744</v>
      </c>
      <c r="E39" s="1"/>
      <c r="F39" s="1"/>
      <c r="G39" s="1"/>
    </row>
    <row r="40" spans="1:7" ht="20.25" customHeight="1">
      <c r="A40" s="55" t="s">
        <v>37</v>
      </c>
      <c r="B40" s="56"/>
      <c r="C40" s="3" t="s">
        <v>98</v>
      </c>
      <c r="D40" s="12">
        <f>7131.6*0.11</f>
        <v>784.476</v>
      </c>
      <c r="E40" s="1"/>
      <c r="F40" s="1"/>
      <c r="G40" s="1"/>
    </row>
    <row r="41" spans="1:7" ht="12.75">
      <c r="A41" s="55" t="s">
        <v>38</v>
      </c>
      <c r="B41" s="56"/>
      <c r="C41" s="3" t="s">
        <v>36</v>
      </c>
      <c r="D41" s="12">
        <f>7131.6*5</f>
        <v>35658</v>
      </c>
      <c r="E41" s="1"/>
      <c r="F41" s="1"/>
      <c r="G41" s="1"/>
    </row>
    <row r="42" spans="1:7" ht="44.25" customHeight="1">
      <c r="A42" s="55" t="s">
        <v>119</v>
      </c>
      <c r="B42" s="56"/>
      <c r="C42" s="3" t="s">
        <v>26</v>
      </c>
      <c r="D42" s="12">
        <f>7131.6*1.31</f>
        <v>9342.396</v>
      </c>
      <c r="E42" s="1"/>
      <c r="F42" s="1"/>
      <c r="G42" s="1"/>
    </row>
    <row r="43" spans="1:7" ht="41.25" customHeight="1">
      <c r="A43" s="55" t="s">
        <v>118</v>
      </c>
      <c r="B43" s="56"/>
      <c r="C43" s="3" t="s">
        <v>43</v>
      </c>
      <c r="D43" s="12">
        <f>7131.6*1.53</f>
        <v>10911.348</v>
      </c>
      <c r="E43" s="1"/>
      <c r="F43" s="1"/>
      <c r="G43" s="1"/>
    </row>
    <row r="44" spans="1:7" ht="38.25" customHeight="1">
      <c r="A44" s="55" t="s">
        <v>120</v>
      </c>
      <c r="B44" s="56"/>
      <c r="C44" s="3" t="s">
        <v>135</v>
      </c>
      <c r="D44" s="12"/>
      <c r="E44" s="1"/>
      <c r="F44" s="1"/>
      <c r="G44" s="1"/>
    </row>
    <row r="45" spans="1:7" ht="25.5">
      <c r="A45" s="55" t="s">
        <v>45</v>
      </c>
      <c r="B45" s="56"/>
      <c r="C45" s="3" t="s">
        <v>46</v>
      </c>
      <c r="D45" s="12">
        <f>7131.6*0.72</f>
        <v>5134.752</v>
      </c>
      <c r="E45" s="1"/>
      <c r="F45" s="1"/>
      <c r="G45" s="1"/>
    </row>
    <row r="46" spans="1:7" ht="33" customHeight="1">
      <c r="A46" s="55" t="s">
        <v>123</v>
      </c>
      <c r="B46" s="56"/>
      <c r="C46" s="3" t="s">
        <v>20</v>
      </c>
      <c r="D46" s="12">
        <f>7131.6*0.36</f>
        <v>2567.376</v>
      </c>
      <c r="E46" s="1"/>
      <c r="F46" s="1"/>
      <c r="G46" s="1"/>
    </row>
    <row r="47" spans="1:7" ht="25.5" customHeight="1">
      <c r="A47" s="55" t="s">
        <v>49</v>
      </c>
      <c r="B47" s="56"/>
      <c r="C47" s="3" t="s">
        <v>104</v>
      </c>
      <c r="D47" s="12">
        <v>629.82</v>
      </c>
      <c r="E47" s="1"/>
      <c r="F47" s="1"/>
      <c r="G47" s="1"/>
    </row>
    <row r="48" spans="1:7" ht="31.5" customHeight="1">
      <c r="A48" s="55" t="s">
        <v>122</v>
      </c>
      <c r="B48" s="56"/>
      <c r="C48" s="3" t="s">
        <v>53</v>
      </c>
      <c r="D48" s="12">
        <f>7131.6*19.77</f>
        <v>140991.73200000002</v>
      </c>
      <c r="E48" s="1"/>
      <c r="F48" s="1"/>
      <c r="G48" s="1"/>
    </row>
    <row r="49" spans="1:7" ht="12.75">
      <c r="A49" s="55" t="s">
        <v>51</v>
      </c>
      <c r="B49" s="56"/>
      <c r="C49" s="3" t="s">
        <v>36</v>
      </c>
      <c r="D49" s="12">
        <f>7131.6*5.26</f>
        <v>37512.216</v>
      </c>
      <c r="E49" s="1"/>
      <c r="F49" s="1"/>
      <c r="G49" s="1"/>
    </row>
    <row r="50" spans="1:7" ht="12.75">
      <c r="A50" s="55" t="s">
        <v>52</v>
      </c>
      <c r="B50" s="56"/>
      <c r="C50" s="3" t="s">
        <v>54</v>
      </c>
      <c r="D50" s="12"/>
      <c r="E50" s="1"/>
      <c r="F50" s="1"/>
      <c r="G50" s="1"/>
    </row>
    <row r="51" spans="1:7" ht="12.75">
      <c r="A51" s="55" t="s">
        <v>85</v>
      </c>
      <c r="B51" s="56"/>
      <c r="C51" s="3" t="s">
        <v>54</v>
      </c>
      <c r="D51" s="11"/>
      <c r="E51" s="1"/>
      <c r="F51" s="1"/>
      <c r="G51" s="1"/>
    </row>
    <row r="52" spans="1:7" ht="25.5" customHeight="1">
      <c r="A52" s="55" t="s">
        <v>55</v>
      </c>
      <c r="B52" s="56"/>
      <c r="C52" s="3" t="s">
        <v>36</v>
      </c>
      <c r="D52" s="11"/>
      <c r="E52" s="1"/>
      <c r="F52" s="1"/>
      <c r="G52" s="1"/>
    </row>
    <row r="53" spans="1:7" ht="12.75">
      <c r="A53" s="63" t="s">
        <v>56</v>
      </c>
      <c r="B53" s="64"/>
      <c r="C53" s="10"/>
      <c r="D53" s="13">
        <f>SUM(D27:D52)</f>
        <v>299159.1780000001</v>
      </c>
      <c r="E53" s="1"/>
      <c r="F53" s="1"/>
      <c r="G53" s="1"/>
    </row>
    <row r="54" spans="1:7" ht="12.75">
      <c r="A54" s="76" t="s">
        <v>102</v>
      </c>
      <c r="B54" s="76"/>
      <c r="C54" s="3"/>
      <c r="D54" s="11"/>
      <c r="E54" s="1"/>
      <c r="F54" s="1"/>
      <c r="G54" s="1"/>
    </row>
    <row r="55" spans="1:7" ht="12.75">
      <c r="A55" s="66" t="s">
        <v>107</v>
      </c>
      <c r="B55" s="66"/>
      <c r="C55" s="3" t="s">
        <v>104</v>
      </c>
      <c r="D55" s="11">
        <v>1860.29</v>
      </c>
      <c r="E55" s="1"/>
      <c r="F55" s="1"/>
      <c r="G55" s="1"/>
    </row>
    <row r="56" spans="1:7" ht="12.75">
      <c r="A56" s="66"/>
      <c r="B56" s="66"/>
      <c r="C56" s="3"/>
      <c r="D56" s="11"/>
      <c r="E56" s="1"/>
      <c r="F56" s="1"/>
      <c r="G56" s="1"/>
    </row>
    <row r="57" spans="1:7" ht="12.75">
      <c r="A57" s="67"/>
      <c r="B57" s="67"/>
      <c r="C57" s="1"/>
      <c r="D57" s="1"/>
      <c r="E57" s="1"/>
      <c r="F57" s="1"/>
      <c r="G57" s="1"/>
    </row>
    <row r="58" spans="1:7" ht="12.75">
      <c r="A58" s="67"/>
      <c r="B58" s="67"/>
      <c r="C58" s="1"/>
      <c r="D58" s="1"/>
      <c r="E58" s="1"/>
      <c r="F58" s="1"/>
      <c r="G58" s="1"/>
    </row>
    <row r="59" spans="1:7" ht="12.75">
      <c r="A59" s="65"/>
      <c r="B59" s="65"/>
      <c r="C59" s="1"/>
      <c r="D59" s="1"/>
      <c r="E59" s="1"/>
      <c r="F59" s="1"/>
      <c r="G59" s="1"/>
    </row>
    <row r="60" spans="1:7" ht="12.75">
      <c r="A60" s="5" t="s">
        <v>58</v>
      </c>
      <c r="B60" s="5"/>
      <c r="C60" s="5"/>
      <c r="D60" s="1"/>
      <c r="E60" s="1"/>
      <c r="F60" s="1"/>
      <c r="G60" s="1"/>
    </row>
    <row r="61" spans="1:7" ht="12.75">
      <c r="A61" s="5" t="s">
        <v>88</v>
      </c>
      <c r="B61" s="5"/>
      <c r="C61" s="5"/>
      <c r="D61" s="1"/>
      <c r="E61" s="1"/>
      <c r="F61" s="1"/>
      <c r="G61" s="1"/>
    </row>
    <row r="62" spans="1:7" ht="12.75">
      <c r="A62" s="5" t="s">
        <v>59</v>
      </c>
      <c r="B62" s="5"/>
      <c r="C62" s="5"/>
      <c r="D62" s="1"/>
      <c r="E62" s="1"/>
      <c r="F62" s="1"/>
      <c r="G62" s="1"/>
    </row>
    <row r="63" spans="1:7" ht="12.75">
      <c r="A63" s="5" t="s">
        <v>89</v>
      </c>
      <c r="B63" s="5"/>
      <c r="C63" s="5"/>
      <c r="D63" s="1"/>
      <c r="E63" s="1"/>
      <c r="F63" s="1"/>
      <c r="G63" s="1"/>
    </row>
    <row r="64" spans="1:7" ht="12.75">
      <c r="A64" s="5" t="s">
        <v>61</v>
      </c>
      <c r="B64" s="4"/>
      <c r="C64" s="4"/>
      <c r="D64" s="1"/>
      <c r="E64" s="1"/>
      <c r="F64" s="1"/>
      <c r="G64" s="1"/>
    </row>
    <row r="65" spans="1:7" ht="12.75">
      <c r="A65" s="5" t="s">
        <v>62</v>
      </c>
      <c r="B65" s="4"/>
      <c r="C65" s="4"/>
      <c r="D65" s="1"/>
      <c r="E65" s="1"/>
      <c r="F65" s="1"/>
      <c r="G65" s="1"/>
    </row>
    <row r="66" spans="1:7" ht="12.75">
      <c r="A66" s="5" t="s">
        <v>63</v>
      </c>
      <c r="B66" s="4"/>
      <c r="C66" s="4"/>
      <c r="D66" s="1"/>
      <c r="E66" s="1"/>
      <c r="F66" s="1"/>
      <c r="G66" s="1"/>
    </row>
    <row r="67" spans="1:7" ht="12.75">
      <c r="A67" s="4"/>
      <c r="B67" s="4"/>
      <c r="C67" s="4"/>
      <c r="D67" s="1"/>
      <c r="E67" s="1"/>
      <c r="F67" s="1"/>
      <c r="G67" s="1"/>
    </row>
    <row r="68" spans="1:7" ht="12.75">
      <c r="A68" s="5"/>
      <c r="B68" s="4"/>
      <c r="C68" s="4"/>
      <c r="D68" s="1"/>
      <c r="E68" s="1"/>
      <c r="F68" s="1"/>
      <c r="G68" s="1"/>
    </row>
    <row r="69" spans="1:7" ht="12.75">
      <c r="A69" s="5" t="s">
        <v>71</v>
      </c>
      <c r="B69" s="5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4"/>
      <c r="B71" s="4"/>
      <c r="C71" s="4"/>
      <c r="D71" s="1"/>
      <c r="E71" s="1"/>
      <c r="F71" s="1"/>
      <c r="G71" s="1"/>
    </row>
    <row r="72" spans="1:7" ht="12.75">
      <c r="A72" s="4"/>
      <c r="B72" s="4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4"/>
      <c r="B77" s="4"/>
      <c r="C77" s="4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</sheetData>
  <mergeCells count="36"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5:B45"/>
    <mergeCell ref="A46:B46"/>
    <mergeCell ref="A47:B47"/>
    <mergeCell ref="A42:B42"/>
    <mergeCell ref="A43:B43"/>
    <mergeCell ref="A44:B44"/>
    <mergeCell ref="A40:B40"/>
    <mergeCell ref="A41:B41"/>
    <mergeCell ref="A35:B35"/>
    <mergeCell ref="A36:B36"/>
    <mergeCell ref="A37:B37"/>
    <mergeCell ref="A38:B38"/>
    <mergeCell ref="A32:B32"/>
    <mergeCell ref="A33:B34"/>
    <mergeCell ref="C33:C34"/>
    <mergeCell ref="A39:B39"/>
    <mergeCell ref="A28:B28"/>
    <mergeCell ref="A29:B29"/>
    <mergeCell ref="A30:B30"/>
    <mergeCell ref="A31:B31"/>
    <mergeCell ref="A20:C20"/>
    <mergeCell ref="A21:C21"/>
    <mergeCell ref="A23:B23"/>
    <mergeCell ref="A27:B27"/>
  </mergeCells>
  <printOptions/>
  <pageMargins left="0.75" right="0.75" top="1" bottom="1" header="0.5" footer="0.5"/>
  <pageSetup horizontalDpi="600" verticalDpi="600" orientation="portrait" paperSize="9" scale="82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5:G111"/>
  <sheetViews>
    <sheetView workbookViewId="0" topLeftCell="A25">
      <selection activeCell="E44" sqref="D44:E44"/>
    </sheetView>
  </sheetViews>
  <sheetFormatPr defaultColWidth="9.140625" defaultRowHeight="12.75"/>
  <cols>
    <col min="1" max="1" width="48.140625" style="0" customWidth="1"/>
    <col min="2" max="2" width="18.57421875" style="0" customWidth="1"/>
    <col min="3" max="3" width="19.57421875" style="0" customWidth="1"/>
    <col min="4" max="4" width="19.851562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77</v>
      </c>
    </row>
    <row r="12" ht="12.75">
      <c r="A12" t="s">
        <v>78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3" t="s">
        <v>125</v>
      </c>
      <c r="E13" s="1"/>
      <c r="F13" s="1"/>
      <c r="G13" s="1"/>
    </row>
    <row r="14" spans="1:7" ht="12.75">
      <c r="A14" s="3" t="s">
        <v>1</v>
      </c>
      <c r="B14" s="11">
        <v>223885.18</v>
      </c>
      <c r="C14" s="11">
        <v>342353.05</v>
      </c>
      <c r="D14" s="11">
        <v>14266.76</v>
      </c>
      <c r="E14" s="1"/>
      <c r="F14" s="1"/>
      <c r="G14" s="1"/>
    </row>
    <row r="15" spans="1:7" ht="12.75">
      <c r="A15" s="3" t="s">
        <v>2</v>
      </c>
      <c r="B15" s="11">
        <f>B14-B17</f>
        <v>222083.94</v>
      </c>
      <c r="C15" s="11">
        <f>C14-C17</f>
        <v>340617.36</v>
      </c>
      <c r="D15" s="11">
        <f>D14-D17</f>
        <v>7133.38</v>
      </c>
      <c r="E15" s="1"/>
      <c r="F15" s="1"/>
      <c r="G15" s="1"/>
    </row>
    <row r="16" spans="1:7" ht="12.75">
      <c r="A16" s="3" t="s">
        <v>3</v>
      </c>
      <c r="B16" s="11"/>
      <c r="C16" s="11"/>
      <c r="D16" s="11"/>
      <c r="E16" s="1"/>
      <c r="F16" s="1"/>
      <c r="G16" s="1"/>
    </row>
    <row r="17" spans="1:7" ht="12.75">
      <c r="A17" s="3" t="s">
        <v>4</v>
      </c>
      <c r="B17" s="11">
        <v>1801.24</v>
      </c>
      <c r="C17" s="11">
        <v>1735.69</v>
      </c>
      <c r="D17" s="11">
        <v>7133.38</v>
      </c>
      <c r="E17" s="1"/>
      <c r="F17" s="1"/>
      <c r="G17" s="1"/>
    </row>
    <row r="18" spans="1:7" ht="12.75">
      <c r="A18" s="3" t="s">
        <v>5</v>
      </c>
      <c r="B18" s="12">
        <f>D56+D58+D59</f>
        <v>413656.17199999996</v>
      </c>
      <c r="C18" s="11"/>
      <c r="D18" s="1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53" t="s">
        <v>10</v>
      </c>
      <c r="B23" s="54"/>
      <c r="C23" s="3" t="s">
        <v>11</v>
      </c>
      <c r="D23" s="3" t="s">
        <v>12</v>
      </c>
      <c r="E23" s="1"/>
      <c r="F23" s="1"/>
      <c r="G23" s="1"/>
    </row>
    <row r="24" spans="1:7" ht="12.75">
      <c r="A24" s="18"/>
      <c r="B24" s="24"/>
      <c r="C24" s="24"/>
      <c r="D24" s="21"/>
      <c r="E24" s="1"/>
      <c r="F24" s="1"/>
      <c r="G24" s="1"/>
    </row>
    <row r="25" spans="1:7" ht="12.75">
      <c r="A25" s="19" t="s">
        <v>13</v>
      </c>
      <c r="B25" s="16"/>
      <c r="C25" s="17"/>
      <c r="D25" s="22"/>
      <c r="E25" s="1"/>
      <c r="F25" s="1"/>
      <c r="G25" s="1"/>
    </row>
    <row r="26" spans="1:7" ht="12.75">
      <c r="A26" s="20" t="s">
        <v>14</v>
      </c>
      <c r="B26" s="25"/>
      <c r="C26" s="26"/>
      <c r="D26" s="23"/>
      <c r="E26" s="1"/>
      <c r="F26" s="1"/>
      <c r="G26" s="1"/>
    </row>
    <row r="27" spans="1:7" ht="25.5" customHeight="1">
      <c r="A27" s="55" t="s">
        <v>15</v>
      </c>
      <c r="B27" s="56"/>
      <c r="C27" s="3" t="s">
        <v>16</v>
      </c>
      <c r="D27" s="12">
        <f>1.82*735.4*12</f>
        <v>16061.136000000002</v>
      </c>
      <c r="E27" s="1"/>
      <c r="F27" s="1"/>
      <c r="G27" s="14"/>
    </row>
    <row r="28" spans="1:7" ht="12.75">
      <c r="A28" s="55" t="s">
        <v>17</v>
      </c>
      <c r="B28" s="56"/>
      <c r="C28" s="3" t="s">
        <v>18</v>
      </c>
      <c r="D28" s="12">
        <f>0.46*735.4*12</f>
        <v>4059.408</v>
      </c>
      <c r="E28" s="1"/>
      <c r="F28" s="1"/>
      <c r="G28" s="1"/>
    </row>
    <row r="29" spans="1:7" ht="12.75">
      <c r="A29" s="53" t="s">
        <v>100</v>
      </c>
      <c r="B29" s="54"/>
      <c r="C29" s="3" t="s">
        <v>20</v>
      </c>
      <c r="D29" s="12"/>
      <c r="E29" s="1"/>
      <c r="F29" s="1"/>
      <c r="G29" s="1"/>
    </row>
    <row r="30" spans="1:7" ht="12.75">
      <c r="A30" s="55" t="s">
        <v>21</v>
      </c>
      <c r="B30" s="56"/>
      <c r="C30" s="3" t="s">
        <v>22</v>
      </c>
      <c r="D30" s="12">
        <f>735.4*12*0.16</f>
        <v>1411.9679999999998</v>
      </c>
      <c r="E30" s="1"/>
      <c r="F30" s="1"/>
      <c r="G30" s="1"/>
    </row>
    <row r="31" spans="1:7" ht="12.75">
      <c r="A31" s="55" t="s">
        <v>23</v>
      </c>
      <c r="B31" s="56"/>
      <c r="C31" s="3" t="s">
        <v>24</v>
      </c>
      <c r="D31" s="12">
        <f>735.4*12*0.18</f>
        <v>1588.4639999999997</v>
      </c>
      <c r="E31" s="1"/>
      <c r="F31" s="1"/>
      <c r="G31" s="1"/>
    </row>
    <row r="32" spans="1:7" ht="12.75">
      <c r="A32" s="55" t="s">
        <v>25</v>
      </c>
      <c r="B32" s="56"/>
      <c r="C32" s="3" t="s">
        <v>26</v>
      </c>
      <c r="D32" s="12">
        <f>(735.4*12*0.14)+6204.53</f>
        <v>7440.0019999999995</v>
      </c>
      <c r="E32" s="1"/>
      <c r="F32" s="1"/>
      <c r="G32" s="1"/>
    </row>
    <row r="33" spans="1:7" ht="25.5" customHeight="1">
      <c r="A33" s="57" t="s">
        <v>27</v>
      </c>
      <c r="B33" s="58"/>
      <c r="C33" s="61" t="s">
        <v>28</v>
      </c>
      <c r="D33" s="12">
        <f>735.4*12*1.64</f>
        <v>14472.671999999999</v>
      </c>
      <c r="E33" s="1"/>
      <c r="F33" s="1"/>
      <c r="G33" s="1"/>
    </row>
    <row r="34" spans="1:7" ht="12.75">
      <c r="A34" s="59"/>
      <c r="B34" s="60"/>
      <c r="C34" s="62"/>
      <c r="D34" s="12">
        <v>12178.94</v>
      </c>
      <c r="E34" s="1"/>
      <c r="F34" s="1"/>
      <c r="G34" s="1"/>
    </row>
    <row r="35" spans="1:7" ht="25.5">
      <c r="A35" s="55" t="s">
        <v>29</v>
      </c>
      <c r="B35" s="56"/>
      <c r="C35" s="3" t="s">
        <v>30</v>
      </c>
      <c r="D35" s="12">
        <f>735.4*12*0.87</f>
        <v>7677.575999999999</v>
      </c>
      <c r="E35" s="1"/>
      <c r="F35" s="1"/>
      <c r="G35" s="1"/>
    </row>
    <row r="36" spans="1:7" ht="38.25" customHeight="1">
      <c r="A36" s="55" t="s">
        <v>31</v>
      </c>
      <c r="B36" s="56"/>
      <c r="C36" s="3" t="s">
        <v>30</v>
      </c>
      <c r="D36" s="12">
        <f>735.4*12*0.78</f>
        <v>6883.344</v>
      </c>
      <c r="E36" s="1"/>
      <c r="F36" s="1"/>
      <c r="G36" s="1"/>
    </row>
    <row r="37" spans="1:7" ht="25.5">
      <c r="A37" s="55" t="s">
        <v>32</v>
      </c>
      <c r="B37" s="56"/>
      <c r="C37" s="3" t="s">
        <v>33</v>
      </c>
      <c r="D37" s="11">
        <f>735.4*12*0.05</f>
        <v>441.24</v>
      </c>
      <c r="E37" s="1"/>
      <c r="F37" s="1"/>
      <c r="G37" s="1"/>
    </row>
    <row r="38" spans="1:7" ht="25.5" customHeight="1">
      <c r="A38" s="55" t="s">
        <v>50</v>
      </c>
      <c r="B38" s="56"/>
      <c r="C38" s="3" t="s">
        <v>34</v>
      </c>
      <c r="D38" s="12">
        <f>735.4*12*(0.07+0.21)</f>
        <v>2470.944</v>
      </c>
      <c r="E38" s="1"/>
      <c r="F38" s="1"/>
      <c r="G38" s="1"/>
    </row>
    <row r="39" spans="1:7" ht="18.75" customHeight="1">
      <c r="A39" s="55" t="s">
        <v>35</v>
      </c>
      <c r="B39" s="56"/>
      <c r="C39" s="3" t="s">
        <v>36</v>
      </c>
      <c r="D39" s="12">
        <f>735.4*12*0.34</f>
        <v>3000.432</v>
      </c>
      <c r="E39" s="1"/>
      <c r="F39" s="1"/>
      <c r="G39" s="1"/>
    </row>
    <row r="40" spans="1:7" ht="20.25" customHeight="1">
      <c r="A40" s="55" t="s">
        <v>37</v>
      </c>
      <c r="B40" s="56"/>
      <c r="C40" s="3" t="s">
        <v>98</v>
      </c>
      <c r="D40" s="12">
        <f>735.4*12*0.11</f>
        <v>970.728</v>
      </c>
      <c r="E40" s="1"/>
      <c r="F40" s="1"/>
      <c r="G40" s="1"/>
    </row>
    <row r="41" spans="1:7" ht="12.75">
      <c r="A41" s="55" t="s">
        <v>38</v>
      </c>
      <c r="B41" s="56"/>
      <c r="C41" s="3" t="s">
        <v>36</v>
      </c>
      <c r="D41" s="12">
        <f>735.4*12*5</f>
        <v>44124</v>
      </c>
      <c r="E41" s="1"/>
      <c r="F41" s="1"/>
      <c r="G41" s="1"/>
    </row>
    <row r="42" spans="1:7" ht="25.5" customHeight="1">
      <c r="A42" s="55" t="s">
        <v>40</v>
      </c>
      <c r="B42" s="56"/>
      <c r="C42" s="3" t="s">
        <v>39</v>
      </c>
      <c r="D42" s="12">
        <f>735.4*12*0.58</f>
        <v>5118.383999999999</v>
      </c>
      <c r="E42" s="1"/>
      <c r="F42" s="1"/>
      <c r="G42" s="1"/>
    </row>
    <row r="43" spans="1:7" ht="32.25" customHeight="1">
      <c r="A43" s="55" t="s">
        <v>41</v>
      </c>
      <c r="B43" s="56"/>
      <c r="C43" s="3" t="s">
        <v>42</v>
      </c>
      <c r="D43" s="12">
        <f>735.4*12*0.28</f>
        <v>2470.944</v>
      </c>
      <c r="E43" s="1"/>
      <c r="F43" s="1"/>
      <c r="G43" s="1"/>
    </row>
    <row r="44" spans="1:7" ht="44.25" customHeight="1">
      <c r="A44" s="55" t="s">
        <v>119</v>
      </c>
      <c r="B44" s="56"/>
      <c r="C44" s="3" t="s">
        <v>26</v>
      </c>
      <c r="D44" s="12">
        <f>735.4*12*1.31</f>
        <v>11560.488</v>
      </c>
      <c r="E44" s="1"/>
      <c r="F44" s="1"/>
      <c r="G44" s="1"/>
    </row>
    <row r="45" spans="1:7" ht="27.75" customHeight="1">
      <c r="A45" s="55" t="s">
        <v>118</v>
      </c>
      <c r="B45" s="56"/>
      <c r="C45" s="3" t="s">
        <v>43</v>
      </c>
      <c r="D45" s="12">
        <f>735.4*12*1.53</f>
        <v>13501.944</v>
      </c>
      <c r="E45" s="1"/>
      <c r="F45" s="1"/>
      <c r="G45" s="1"/>
    </row>
    <row r="46" spans="1:7" ht="29.25" customHeight="1">
      <c r="A46" s="55" t="s">
        <v>120</v>
      </c>
      <c r="B46" s="56"/>
      <c r="C46" s="3" t="s">
        <v>174</v>
      </c>
      <c r="D46" s="12"/>
      <c r="E46" s="1"/>
      <c r="F46" s="1"/>
      <c r="G46" s="1"/>
    </row>
    <row r="47" spans="1:7" ht="25.5">
      <c r="A47" s="55" t="s">
        <v>45</v>
      </c>
      <c r="B47" s="56"/>
      <c r="C47" s="3" t="s">
        <v>46</v>
      </c>
      <c r="D47" s="12">
        <f>735.4*12*0.72</f>
        <v>6353.855999999999</v>
      </c>
      <c r="E47" s="1"/>
      <c r="F47" s="1"/>
      <c r="G47" s="1"/>
    </row>
    <row r="48" spans="1:7" ht="33" customHeight="1">
      <c r="A48" s="55" t="s">
        <v>47</v>
      </c>
      <c r="B48" s="56"/>
      <c r="C48" s="3" t="s">
        <v>20</v>
      </c>
      <c r="D48" s="12">
        <f>735.4*12*0.24</f>
        <v>2117.9519999999998</v>
      </c>
      <c r="E48" s="1"/>
      <c r="F48" s="1"/>
      <c r="G48" s="1"/>
    </row>
    <row r="49" spans="1:7" ht="25.5">
      <c r="A49" s="55" t="s">
        <v>48</v>
      </c>
      <c r="B49" s="56"/>
      <c r="C49" s="3" t="s">
        <v>105</v>
      </c>
      <c r="D49" s="12">
        <f>735.4*12*0.12</f>
        <v>1058.9759999999999</v>
      </c>
      <c r="E49" s="1"/>
      <c r="F49" s="1"/>
      <c r="G49" s="1"/>
    </row>
    <row r="50" spans="1:7" ht="25.5" customHeight="1">
      <c r="A50" s="55" t="s">
        <v>49</v>
      </c>
      <c r="B50" s="56"/>
      <c r="C50" s="3" t="s">
        <v>104</v>
      </c>
      <c r="D50" s="12">
        <v>672.52</v>
      </c>
      <c r="E50" s="1"/>
      <c r="F50" s="1"/>
      <c r="G50" s="1"/>
    </row>
    <row r="51" spans="1:7" ht="28.5" customHeight="1">
      <c r="A51" s="55" t="s">
        <v>122</v>
      </c>
      <c r="B51" s="56"/>
      <c r="C51" s="3" t="s">
        <v>53</v>
      </c>
      <c r="D51" s="12">
        <f>735.4*12*19.77</f>
        <v>174466.29599999997</v>
      </c>
      <c r="E51" s="1"/>
      <c r="F51" s="1"/>
      <c r="G51" s="1"/>
    </row>
    <row r="52" spans="1:7" ht="12.75">
      <c r="A52" s="55" t="s">
        <v>51</v>
      </c>
      <c r="B52" s="56"/>
      <c r="C52" s="3" t="s">
        <v>36</v>
      </c>
      <c r="D52" s="12">
        <f>735.4*12*5.26</f>
        <v>46418.448</v>
      </c>
      <c r="E52" s="1"/>
      <c r="F52" s="1"/>
      <c r="G52" s="1"/>
    </row>
    <row r="53" spans="1:7" ht="12.75">
      <c r="A53" s="55" t="s">
        <v>52</v>
      </c>
      <c r="B53" s="56"/>
      <c r="C53" s="3" t="s">
        <v>54</v>
      </c>
      <c r="D53" s="11"/>
      <c r="E53" s="1"/>
      <c r="F53" s="1"/>
      <c r="G53" s="1"/>
    </row>
    <row r="54" spans="1:7" ht="12.75">
      <c r="A54" s="55" t="s">
        <v>85</v>
      </c>
      <c r="B54" s="56"/>
      <c r="C54" s="3" t="s">
        <v>54</v>
      </c>
      <c r="D54" s="11"/>
      <c r="E54" s="1"/>
      <c r="F54" s="1"/>
      <c r="G54" s="1"/>
    </row>
    <row r="55" spans="1:7" ht="15" customHeight="1">
      <c r="A55" s="55" t="s">
        <v>55</v>
      </c>
      <c r="B55" s="56"/>
      <c r="C55" s="3" t="s">
        <v>36</v>
      </c>
      <c r="D55" s="11"/>
      <c r="E55" s="1"/>
      <c r="F55" s="1"/>
      <c r="G55" s="1"/>
    </row>
    <row r="56" spans="1:7" ht="12.75">
      <c r="A56" s="63" t="s">
        <v>56</v>
      </c>
      <c r="B56" s="64"/>
      <c r="C56" s="10"/>
      <c r="D56" s="13">
        <f>SUM(D27:D55)</f>
        <v>386520.66199999995</v>
      </c>
      <c r="E56" s="1"/>
      <c r="F56" s="1"/>
      <c r="G56" s="1"/>
    </row>
    <row r="57" spans="1:7" ht="12.75">
      <c r="A57" s="76" t="s">
        <v>102</v>
      </c>
      <c r="B57" s="76"/>
      <c r="C57" s="3"/>
      <c r="D57" s="11"/>
      <c r="E57" s="1"/>
      <c r="F57" s="1"/>
      <c r="G57" s="1"/>
    </row>
    <row r="58" spans="1:7" ht="12.75">
      <c r="A58" s="66" t="s">
        <v>92</v>
      </c>
      <c r="B58" s="66"/>
      <c r="C58" s="3" t="s">
        <v>103</v>
      </c>
      <c r="D58" s="11">
        <v>8734.05</v>
      </c>
      <c r="E58" s="1"/>
      <c r="F58" s="1"/>
      <c r="G58" s="1"/>
    </row>
    <row r="59" spans="1:7" ht="12.75">
      <c r="A59" s="66" t="s">
        <v>107</v>
      </c>
      <c r="B59" s="66"/>
      <c r="C59" s="3" t="s">
        <v>113</v>
      </c>
      <c r="D59" s="11">
        <v>18401.46</v>
      </c>
      <c r="E59" s="1"/>
      <c r="F59" s="1"/>
      <c r="G59" s="1"/>
    </row>
    <row r="60" spans="1:7" ht="12.75">
      <c r="A60" s="67"/>
      <c r="B60" s="67"/>
      <c r="C60" s="1"/>
      <c r="D60" s="1"/>
      <c r="E60" s="1"/>
      <c r="F60" s="1"/>
      <c r="G60" s="1"/>
    </row>
    <row r="61" spans="1:7" ht="12.75">
      <c r="A61" s="67"/>
      <c r="B61" s="67"/>
      <c r="C61" s="1"/>
      <c r="D61" s="1"/>
      <c r="E61" s="1"/>
      <c r="F61" s="1"/>
      <c r="G61" s="1"/>
    </row>
    <row r="62" spans="1:7" ht="12.75">
      <c r="A62" s="65"/>
      <c r="B62" s="65"/>
      <c r="C62" s="1"/>
      <c r="D62" s="1"/>
      <c r="E62" s="1"/>
      <c r="F62" s="1"/>
      <c r="G62" s="1"/>
    </row>
    <row r="63" spans="1:7" ht="12.75">
      <c r="A63" s="5" t="s">
        <v>58</v>
      </c>
      <c r="B63" s="5"/>
      <c r="C63" s="5"/>
      <c r="D63" s="1"/>
      <c r="E63" s="1"/>
      <c r="F63" s="1"/>
      <c r="G63" s="1"/>
    </row>
    <row r="64" spans="1:7" ht="12.75">
      <c r="A64" s="5" t="s">
        <v>88</v>
      </c>
      <c r="B64" s="5"/>
      <c r="C64" s="5"/>
      <c r="D64" s="1"/>
      <c r="E64" s="1"/>
      <c r="F64" s="1"/>
      <c r="G64" s="1"/>
    </row>
    <row r="65" spans="1:7" ht="12.75">
      <c r="A65" s="5" t="s">
        <v>59</v>
      </c>
      <c r="B65" s="5"/>
      <c r="C65" s="5"/>
      <c r="D65" s="1"/>
      <c r="E65" s="1"/>
      <c r="F65" s="1"/>
      <c r="G65" s="1"/>
    </row>
    <row r="66" spans="1:7" ht="12.75">
      <c r="A66" s="5" t="s">
        <v>89</v>
      </c>
      <c r="B66" s="5"/>
      <c r="C66" s="5"/>
      <c r="D66" s="1"/>
      <c r="E66" s="1"/>
      <c r="F66" s="1"/>
      <c r="G66" s="1"/>
    </row>
    <row r="67" spans="1:7" ht="12.75">
      <c r="A67" s="5" t="s">
        <v>61</v>
      </c>
      <c r="B67" s="4"/>
      <c r="C67" s="4"/>
      <c r="D67" s="1"/>
      <c r="E67" s="1"/>
      <c r="F67" s="1"/>
      <c r="G67" s="1"/>
    </row>
    <row r="68" spans="1:7" ht="12.75">
      <c r="A68" s="5" t="s">
        <v>62</v>
      </c>
      <c r="B68" s="4"/>
      <c r="C68" s="4"/>
      <c r="D68" s="1"/>
      <c r="E68" s="1"/>
      <c r="F68" s="1"/>
      <c r="G68" s="1"/>
    </row>
    <row r="69" spans="1:7" ht="12.75">
      <c r="A69" s="5" t="s">
        <v>63</v>
      </c>
      <c r="B69" s="4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5"/>
      <c r="B71" s="4"/>
      <c r="C71" s="4"/>
      <c r="D71" s="1"/>
      <c r="E71" s="1"/>
      <c r="F71" s="1"/>
      <c r="G71" s="1"/>
    </row>
    <row r="72" spans="1:7" ht="12.75">
      <c r="A72" s="5" t="s">
        <v>71</v>
      </c>
      <c r="B72" s="5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4"/>
      <c r="B77" s="4"/>
      <c r="C77" s="4"/>
      <c r="D77" s="1"/>
      <c r="E77" s="1"/>
      <c r="F77" s="1"/>
      <c r="G77" s="1"/>
    </row>
    <row r="78" spans="1:7" ht="12.75">
      <c r="A78" s="4"/>
      <c r="B78" s="4"/>
      <c r="C78" s="4"/>
      <c r="D78" s="1"/>
      <c r="E78" s="1"/>
      <c r="F78" s="1"/>
      <c r="G78" s="1"/>
    </row>
    <row r="79" spans="1:7" ht="12.75">
      <c r="A79" s="4"/>
      <c r="B79" s="4"/>
      <c r="C79" s="4"/>
      <c r="D79" s="1"/>
      <c r="E79" s="1"/>
      <c r="F79" s="1"/>
      <c r="G79" s="1"/>
    </row>
    <row r="80" spans="1:7" ht="12.75">
      <c r="A80" s="4"/>
      <c r="B80" s="4"/>
      <c r="C80" s="4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</sheetData>
  <mergeCells count="39">
    <mergeCell ref="A60:B60"/>
    <mergeCell ref="A61:B61"/>
    <mergeCell ref="A62:B62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4"/>
    <mergeCell ref="C33:C34"/>
    <mergeCell ref="A35:B35"/>
    <mergeCell ref="A28:B28"/>
    <mergeCell ref="A29:B29"/>
    <mergeCell ref="A30:B30"/>
    <mergeCell ref="A31:B31"/>
    <mergeCell ref="A20:C20"/>
    <mergeCell ref="A21:C21"/>
    <mergeCell ref="A23:B23"/>
    <mergeCell ref="A27:B27"/>
  </mergeCells>
  <printOptions/>
  <pageMargins left="0.75" right="0.75" top="1" bottom="1" header="0.5" footer="0.5"/>
  <pageSetup horizontalDpi="600" verticalDpi="600" orientation="portrait" paperSize="9" scale="82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5:G111"/>
  <sheetViews>
    <sheetView workbookViewId="0" topLeftCell="A25">
      <selection activeCell="H42" sqref="H42"/>
    </sheetView>
  </sheetViews>
  <sheetFormatPr defaultColWidth="9.140625" defaultRowHeight="12.75"/>
  <cols>
    <col min="1" max="1" width="48.140625" style="0" customWidth="1"/>
    <col min="2" max="2" width="16.421875" style="0" customWidth="1"/>
    <col min="3" max="3" width="19.57421875" style="0" customWidth="1"/>
    <col min="4" max="4" width="19.851562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79</v>
      </c>
    </row>
    <row r="12" ht="12.75">
      <c r="A12" t="s">
        <v>80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3" t="s">
        <v>125</v>
      </c>
      <c r="E13" s="1"/>
      <c r="F13" s="1"/>
      <c r="G13" s="1"/>
    </row>
    <row r="14" spans="1:7" ht="12.75">
      <c r="A14" s="3" t="s">
        <v>1</v>
      </c>
      <c r="B14" s="11">
        <v>238315.63</v>
      </c>
      <c r="C14" s="11">
        <v>346245.24</v>
      </c>
      <c r="D14" s="11">
        <v>15186.32</v>
      </c>
      <c r="E14" s="1"/>
      <c r="F14" s="1"/>
      <c r="G14" s="1"/>
    </row>
    <row r="15" spans="1:7" ht="12.75">
      <c r="A15" s="3" t="s">
        <v>2</v>
      </c>
      <c r="B15" s="11">
        <f>B14-B17</f>
        <v>236396.43</v>
      </c>
      <c r="C15" s="11">
        <f>C14-C17</f>
        <v>344694.3</v>
      </c>
      <c r="D15" s="11">
        <f>D14-D17</f>
        <v>7593.16</v>
      </c>
      <c r="E15" s="1"/>
      <c r="F15" s="1"/>
      <c r="G15" s="1"/>
    </row>
    <row r="16" spans="1:7" ht="12.75">
      <c r="A16" s="3" t="s">
        <v>3</v>
      </c>
      <c r="B16" s="11"/>
      <c r="C16" s="11"/>
      <c r="D16" s="11"/>
      <c r="E16" s="1"/>
      <c r="F16" s="1"/>
      <c r="G16" s="1"/>
    </row>
    <row r="17" spans="1:7" ht="12.75">
      <c r="A17" s="3" t="s">
        <v>4</v>
      </c>
      <c r="B17" s="11">
        <v>1919.2</v>
      </c>
      <c r="C17" s="11">
        <v>1550.94</v>
      </c>
      <c r="D17" s="11">
        <v>7593.16</v>
      </c>
      <c r="E17" s="1"/>
      <c r="F17" s="1"/>
      <c r="G17" s="1"/>
    </row>
    <row r="18" spans="1:7" ht="12.75">
      <c r="A18" s="3" t="s">
        <v>5</v>
      </c>
      <c r="B18" s="12">
        <f>D56+D58+D59</f>
        <v>440706.9679999999</v>
      </c>
      <c r="C18" s="11"/>
      <c r="D18" s="11"/>
      <c r="E18" s="1"/>
      <c r="F18" s="1"/>
      <c r="G18" s="1"/>
    </row>
    <row r="19" spans="1:7" ht="12.75">
      <c r="A19" s="18"/>
      <c r="B19" s="24"/>
      <c r="C19" s="24"/>
      <c r="D19" s="21"/>
      <c r="E19" s="1"/>
      <c r="F19" s="1"/>
      <c r="G19" s="1"/>
    </row>
    <row r="20" spans="1:7" ht="13.5" customHeight="1">
      <c r="A20" s="72" t="s">
        <v>9</v>
      </c>
      <c r="B20" s="73"/>
      <c r="C20" s="73"/>
      <c r="D20" s="27"/>
      <c r="E20" s="1"/>
      <c r="F20" s="1"/>
      <c r="G20" s="1"/>
    </row>
    <row r="21" spans="1:7" ht="15" customHeight="1">
      <c r="A21" s="74" t="s">
        <v>90</v>
      </c>
      <c r="B21" s="75"/>
      <c r="C21" s="75"/>
      <c r="D21" s="27"/>
      <c r="E21" s="1"/>
      <c r="F21" s="1"/>
      <c r="G21" s="1"/>
    </row>
    <row r="22" spans="1:7" ht="12.75">
      <c r="A22" s="30"/>
      <c r="B22" s="28"/>
      <c r="C22" s="28"/>
      <c r="D22" s="29"/>
      <c r="E22" s="1"/>
      <c r="F22" s="1"/>
      <c r="G22" s="1"/>
    </row>
    <row r="23" spans="1:7" ht="12.75">
      <c r="A23" s="53" t="s">
        <v>10</v>
      </c>
      <c r="B23" s="54"/>
      <c r="C23" s="3" t="s">
        <v>11</v>
      </c>
      <c r="D23" s="3" t="s">
        <v>12</v>
      </c>
      <c r="E23" s="1"/>
      <c r="F23" s="1"/>
      <c r="G23" s="1"/>
    </row>
    <row r="24" spans="1:7" ht="12.75">
      <c r="A24" s="18"/>
      <c r="B24" s="24"/>
      <c r="C24" s="24"/>
      <c r="D24" s="21"/>
      <c r="E24" s="1"/>
      <c r="F24" s="1"/>
      <c r="G24" s="1"/>
    </row>
    <row r="25" spans="1:7" ht="12.75">
      <c r="A25" s="19" t="s">
        <v>13</v>
      </c>
      <c r="B25" s="16"/>
      <c r="C25" s="17"/>
      <c r="D25" s="22"/>
      <c r="E25" s="1"/>
      <c r="F25" s="1"/>
      <c r="G25" s="1"/>
    </row>
    <row r="26" spans="1:7" ht="12.75">
      <c r="A26" s="20" t="s">
        <v>14</v>
      </c>
      <c r="B26" s="25"/>
      <c r="C26" s="26"/>
      <c r="D26" s="23"/>
      <c r="E26" s="1"/>
      <c r="F26" s="1"/>
      <c r="G26" s="1"/>
    </row>
    <row r="27" spans="1:7" ht="25.5" customHeight="1">
      <c r="A27" s="55" t="s">
        <v>15</v>
      </c>
      <c r="B27" s="56"/>
      <c r="C27" s="3" t="s">
        <v>16</v>
      </c>
      <c r="D27" s="12">
        <f>782.8*12*1.82</f>
        <v>17096.352</v>
      </c>
      <c r="E27" s="1"/>
      <c r="F27" s="1"/>
      <c r="G27" s="14"/>
    </row>
    <row r="28" spans="1:7" ht="12.75">
      <c r="A28" s="55" t="s">
        <v>17</v>
      </c>
      <c r="B28" s="56"/>
      <c r="C28" s="3" t="s">
        <v>18</v>
      </c>
      <c r="D28" s="12">
        <f>782.8*12*0.46</f>
        <v>4321.056</v>
      </c>
      <c r="E28" s="1"/>
      <c r="F28" s="1"/>
      <c r="G28" s="1"/>
    </row>
    <row r="29" spans="1:7" ht="12.75">
      <c r="A29" s="53" t="s">
        <v>100</v>
      </c>
      <c r="B29" s="54"/>
      <c r="C29" s="3" t="s">
        <v>20</v>
      </c>
      <c r="D29" s="12"/>
      <c r="E29" s="1"/>
      <c r="F29" s="1"/>
      <c r="G29" s="1"/>
    </row>
    <row r="30" spans="1:7" ht="12.75">
      <c r="A30" s="55" t="s">
        <v>21</v>
      </c>
      <c r="B30" s="56"/>
      <c r="C30" s="3" t="s">
        <v>22</v>
      </c>
      <c r="D30" s="12">
        <f>782.8*12*0.16</f>
        <v>1502.9759999999999</v>
      </c>
      <c r="E30" s="1"/>
      <c r="F30" s="1"/>
      <c r="G30" s="1"/>
    </row>
    <row r="31" spans="1:7" ht="12.75">
      <c r="A31" s="55" t="s">
        <v>23</v>
      </c>
      <c r="B31" s="56"/>
      <c r="C31" s="3" t="s">
        <v>24</v>
      </c>
      <c r="D31" s="12">
        <f>782.8*12*0.18</f>
        <v>1690.8479999999997</v>
      </c>
      <c r="E31" s="1"/>
      <c r="F31" s="1"/>
      <c r="G31" s="1"/>
    </row>
    <row r="32" spans="1:7" ht="12.75">
      <c r="A32" s="55" t="s">
        <v>25</v>
      </c>
      <c r="B32" s="56"/>
      <c r="C32" s="3" t="s">
        <v>26</v>
      </c>
      <c r="D32" s="12">
        <f>782.8*12*0.14</f>
        <v>1315.1039999999998</v>
      </c>
      <c r="E32" s="1"/>
      <c r="F32" s="1"/>
      <c r="G32" s="1"/>
    </row>
    <row r="33" spans="1:7" ht="25.5" customHeight="1">
      <c r="A33" s="57" t="s">
        <v>27</v>
      </c>
      <c r="B33" s="58"/>
      <c r="C33" s="61" t="s">
        <v>28</v>
      </c>
      <c r="D33" s="12">
        <f>782.8*12*1.64</f>
        <v>15405.503999999997</v>
      </c>
      <c r="E33" s="1"/>
      <c r="F33" s="1"/>
      <c r="G33" s="1"/>
    </row>
    <row r="34" spans="1:7" ht="12.75">
      <c r="A34" s="59"/>
      <c r="B34" s="60"/>
      <c r="C34" s="62"/>
      <c r="D34" s="12">
        <v>12964.94</v>
      </c>
      <c r="E34" s="1"/>
      <c r="F34" s="1"/>
      <c r="G34" s="1"/>
    </row>
    <row r="35" spans="1:7" ht="25.5">
      <c r="A35" s="55" t="s">
        <v>29</v>
      </c>
      <c r="B35" s="56"/>
      <c r="C35" s="3" t="s">
        <v>30</v>
      </c>
      <c r="D35" s="12">
        <f>782.8*12*0.87</f>
        <v>8172.431999999999</v>
      </c>
      <c r="E35" s="1"/>
      <c r="F35" s="1"/>
      <c r="G35" s="1"/>
    </row>
    <row r="36" spans="1:7" ht="38.25" customHeight="1">
      <c r="A36" s="55" t="s">
        <v>31</v>
      </c>
      <c r="B36" s="56"/>
      <c r="C36" s="3" t="s">
        <v>30</v>
      </c>
      <c r="D36" s="12">
        <f>782.8*12*0.78</f>
        <v>7327.007999999999</v>
      </c>
      <c r="E36" s="1"/>
      <c r="F36" s="1"/>
      <c r="G36" s="1"/>
    </row>
    <row r="37" spans="1:7" ht="25.5">
      <c r="A37" s="55" t="s">
        <v>32</v>
      </c>
      <c r="B37" s="56"/>
      <c r="C37" s="3" t="s">
        <v>33</v>
      </c>
      <c r="D37" s="12">
        <f>782.8*12*0.05</f>
        <v>469.67999999999995</v>
      </c>
      <c r="E37" s="1"/>
      <c r="F37" s="1"/>
      <c r="G37" s="1"/>
    </row>
    <row r="38" spans="1:7" ht="25.5" customHeight="1">
      <c r="A38" s="55" t="s">
        <v>50</v>
      </c>
      <c r="B38" s="56"/>
      <c r="C38" s="3" t="s">
        <v>34</v>
      </c>
      <c r="D38" s="12">
        <f>(0.07+0.21)*782.8*12</f>
        <v>2630.208</v>
      </c>
      <c r="E38" s="1"/>
      <c r="F38" s="1"/>
      <c r="G38" s="1"/>
    </row>
    <row r="39" spans="1:7" ht="18.75" customHeight="1">
      <c r="A39" s="55" t="s">
        <v>35</v>
      </c>
      <c r="B39" s="56"/>
      <c r="C39" s="3" t="s">
        <v>36</v>
      </c>
      <c r="D39" s="12">
        <f>782.8*12*0.34</f>
        <v>3193.8239999999996</v>
      </c>
      <c r="E39" s="1"/>
      <c r="F39" s="1"/>
      <c r="G39" s="1"/>
    </row>
    <row r="40" spans="1:7" ht="20.25" customHeight="1">
      <c r="A40" s="55" t="s">
        <v>37</v>
      </c>
      <c r="B40" s="56"/>
      <c r="C40" s="3" t="s">
        <v>98</v>
      </c>
      <c r="D40" s="12">
        <f>782.8*12*0.11</f>
        <v>1033.2959999999998</v>
      </c>
      <c r="E40" s="1"/>
      <c r="F40" s="1"/>
      <c r="G40" s="1"/>
    </row>
    <row r="41" spans="1:7" ht="12.75">
      <c r="A41" s="55" t="s">
        <v>38</v>
      </c>
      <c r="B41" s="56"/>
      <c r="C41" s="3" t="s">
        <v>36</v>
      </c>
      <c r="D41" s="12">
        <f>782.8*12*2.24</f>
        <v>21041.663999999997</v>
      </c>
      <c r="E41" s="1"/>
      <c r="F41" s="1"/>
      <c r="G41" s="1"/>
    </row>
    <row r="42" spans="1:7" ht="25.5" customHeight="1">
      <c r="A42" s="55" t="s">
        <v>40</v>
      </c>
      <c r="B42" s="56"/>
      <c r="C42" s="3" t="s">
        <v>39</v>
      </c>
      <c r="D42" s="12">
        <f>782.8*12*0.58</f>
        <v>5448.287999999999</v>
      </c>
      <c r="E42" s="1"/>
      <c r="F42" s="1"/>
      <c r="G42" s="1"/>
    </row>
    <row r="43" spans="1:7" ht="32.25" customHeight="1">
      <c r="A43" s="55" t="s">
        <v>41</v>
      </c>
      <c r="B43" s="56"/>
      <c r="C43" s="3" t="s">
        <v>42</v>
      </c>
      <c r="D43" s="12">
        <f>782.8*12*0.28</f>
        <v>2630.2079999999996</v>
      </c>
      <c r="E43" s="1"/>
      <c r="F43" s="1"/>
      <c r="G43" s="1"/>
    </row>
    <row r="44" spans="1:7" ht="33.75" customHeight="1">
      <c r="A44" s="55" t="s">
        <v>121</v>
      </c>
      <c r="B44" s="56"/>
      <c r="C44" s="3" t="s">
        <v>26</v>
      </c>
      <c r="D44" s="12">
        <f>782.8*12*1.31</f>
        <v>12305.615999999998</v>
      </c>
      <c r="E44" s="1"/>
      <c r="F44" s="1"/>
      <c r="G44" s="1"/>
    </row>
    <row r="45" spans="1:7" ht="26.25" customHeight="1">
      <c r="A45" s="55" t="s">
        <v>118</v>
      </c>
      <c r="B45" s="56"/>
      <c r="C45" s="3" t="s">
        <v>43</v>
      </c>
      <c r="D45" s="12">
        <f>782.8*12*1.53</f>
        <v>14372.207999999999</v>
      </c>
      <c r="E45" s="1"/>
      <c r="F45" s="1"/>
      <c r="G45" s="1"/>
    </row>
    <row r="46" spans="1:7" ht="33.75" customHeight="1">
      <c r="A46" s="55" t="s">
        <v>120</v>
      </c>
      <c r="B46" s="56"/>
      <c r="C46" s="3" t="s">
        <v>135</v>
      </c>
      <c r="D46" s="12"/>
      <c r="E46" s="1"/>
      <c r="F46" s="1"/>
      <c r="G46" s="1"/>
    </row>
    <row r="47" spans="1:7" ht="25.5">
      <c r="A47" s="55" t="s">
        <v>45</v>
      </c>
      <c r="B47" s="56"/>
      <c r="C47" s="3" t="s">
        <v>46</v>
      </c>
      <c r="D47" s="12">
        <f>782.8*12*0.72</f>
        <v>6763.391999999999</v>
      </c>
      <c r="E47" s="1"/>
      <c r="F47" s="1"/>
      <c r="G47" s="1"/>
    </row>
    <row r="48" spans="1:7" ht="33" customHeight="1">
      <c r="A48" s="55" t="s">
        <v>47</v>
      </c>
      <c r="B48" s="56"/>
      <c r="C48" s="3" t="s">
        <v>20</v>
      </c>
      <c r="D48" s="12">
        <f>782.8*12*0.24</f>
        <v>2254.4639999999995</v>
      </c>
      <c r="E48" s="1"/>
      <c r="F48" s="1"/>
      <c r="G48" s="1"/>
    </row>
    <row r="49" spans="1:7" ht="25.5">
      <c r="A49" s="55" t="s">
        <v>48</v>
      </c>
      <c r="B49" s="56"/>
      <c r="C49" s="3" t="s">
        <v>105</v>
      </c>
      <c r="D49" s="12">
        <f>782.8*12*0.12</f>
        <v>1127.2319999999997</v>
      </c>
      <c r="E49" s="1"/>
      <c r="F49" s="1"/>
      <c r="G49" s="1"/>
    </row>
    <row r="50" spans="1:7" ht="25.5" customHeight="1">
      <c r="A50" s="55" t="s">
        <v>49</v>
      </c>
      <c r="B50" s="56"/>
      <c r="C50" s="3" t="s">
        <v>104</v>
      </c>
      <c r="D50" s="12">
        <f>2258.72+1198.58</f>
        <v>3457.2999999999997</v>
      </c>
      <c r="E50" s="1"/>
      <c r="F50" s="1"/>
      <c r="G50" s="1"/>
    </row>
    <row r="51" spans="1:7" ht="30" customHeight="1">
      <c r="A51" s="55" t="s">
        <v>122</v>
      </c>
      <c r="B51" s="56"/>
      <c r="C51" s="3" t="s">
        <v>53</v>
      </c>
      <c r="D51" s="12">
        <f>782.8*12*19.77</f>
        <v>185711.47199999998</v>
      </c>
      <c r="E51" s="1"/>
      <c r="F51" s="1"/>
      <c r="G51" s="1"/>
    </row>
    <row r="52" spans="1:7" ht="12.75">
      <c r="A52" s="55" t="s">
        <v>51</v>
      </c>
      <c r="B52" s="56"/>
      <c r="C52" s="3" t="s">
        <v>36</v>
      </c>
      <c r="D52" s="12">
        <f>782.8*12*5.26</f>
        <v>49410.33599999999</v>
      </c>
      <c r="E52" s="1"/>
      <c r="F52" s="1"/>
      <c r="G52" s="1"/>
    </row>
    <row r="53" spans="1:7" ht="12.75">
      <c r="A53" s="55" t="s">
        <v>52</v>
      </c>
      <c r="B53" s="56"/>
      <c r="C53" s="3" t="s">
        <v>54</v>
      </c>
      <c r="D53" s="12"/>
      <c r="E53" s="1"/>
      <c r="F53" s="1"/>
      <c r="G53" s="1"/>
    </row>
    <row r="54" spans="1:7" ht="12.75">
      <c r="A54" s="55" t="s">
        <v>85</v>
      </c>
      <c r="B54" s="56"/>
      <c r="C54" s="3" t="s">
        <v>54</v>
      </c>
      <c r="D54" s="12"/>
      <c r="E54" s="1"/>
      <c r="F54" s="1"/>
      <c r="G54" s="1"/>
    </row>
    <row r="55" spans="1:7" ht="25.5" customHeight="1">
      <c r="A55" s="55" t="s">
        <v>55</v>
      </c>
      <c r="B55" s="56"/>
      <c r="C55" s="3" t="s">
        <v>36</v>
      </c>
      <c r="D55" s="12"/>
      <c r="E55" s="1"/>
      <c r="F55" s="1"/>
      <c r="G55" s="1"/>
    </row>
    <row r="56" spans="1:7" ht="12.75">
      <c r="A56" s="63" t="s">
        <v>56</v>
      </c>
      <c r="B56" s="64"/>
      <c r="C56" s="10"/>
      <c r="D56" s="13">
        <f>SUM(D27:D55)</f>
        <v>381645.40799999994</v>
      </c>
      <c r="E56" s="1"/>
      <c r="F56" s="1"/>
      <c r="G56" s="1"/>
    </row>
    <row r="57" spans="1:7" ht="12.75">
      <c r="A57" s="76" t="s">
        <v>102</v>
      </c>
      <c r="B57" s="76"/>
      <c r="C57" s="3"/>
      <c r="D57" s="11"/>
      <c r="E57" s="1"/>
      <c r="F57" s="1"/>
      <c r="G57" s="1"/>
    </row>
    <row r="58" spans="1:7" ht="12.75">
      <c r="A58" s="66" t="s">
        <v>92</v>
      </c>
      <c r="B58" s="66"/>
      <c r="C58" s="3" t="s">
        <v>103</v>
      </c>
      <c r="D58" s="11">
        <v>4783.47</v>
      </c>
      <c r="E58" s="1"/>
      <c r="F58" s="1"/>
      <c r="G58" s="1"/>
    </row>
    <row r="59" spans="1:7" ht="12.75">
      <c r="A59" s="66" t="s">
        <v>114</v>
      </c>
      <c r="B59" s="66"/>
      <c r="C59" s="3" t="s">
        <v>115</v>
      </c>
      <c r="D59" s="11">
        <v>54278.09</v>
      </c>
      <c r="E59" s="1"/>
      <c r="F59" s="1"/>
      <c r="G59" s="1"/>
    </row>
    <row r="60" spans="1:7" ht="12.75">
      <c r="A60" s="67"/>
      <c r="B60" s="67"/>
      <c r="C60" s="1"/>
      <c r="D60" s="1"/>
      <c r="E60" s="1"/>
      <c r="F60" s="1"/>
      <c r="G60" s="1"/>
    </row>
    <row r="61" spans="1:7" ht="12.75">
      <c r="A61" s="67"/>
      <c r="B61" s="67"/>
      <c r="C61" s="1"/>
      <c r="D61" s="1"/>
      <c r="E61" s="1"/>
      <c r="F61" s="1"/>
      <c r="G61" s="1"/>
    </row>
    <row r="62" spans="1:7" ht="12.75">
      <c r="A62" s="65"/>
      <c r="B62" s="65"/>
      <c r="C62" s="1"/>
      <c r="D62" s="1"/>
      <c r="E62" s="1"/>
      <c r="F62" s="1"/>
      <c r="G62" s="1"/>
    </row>
    <row r="63" spans="1:7" ht="12.75">
      <c r="A63" s="5" t="s">
        <v>58</v>
      </c>
      <c r="B63" s="5"/>
      <c r="C63" s="5"/>
      <c r="D63" s="1"/>
      <c r="E63" s="1"/>
      <c r="F63" s="1"/>
      <c r="G63" s="1"/>
    </row>
    <row r="64" spans="1:7" ht="12.75">
      <c r="A64" s="5" t="s">
        <v>88</v>
      </c>
      <c r="B64" s="5"/>
      <c r="C64" s="5"/>
      <c r="D64" s="1"/>
      <c r="E64" s="1"/>
      <c r="F64" s="1"/>
      <c r="G64" s="1"/>
    </row>
    <row r="65" spans="1:7" ht="12.75">
      <c r="A65" s="5" t="s">
        <v>59</v>
      </c>
      <c r="B65" s="5"/>
      <c r="C65" s="5"/>
      <c r="D65" s="1"/>
      <c r="E65" s="1"/>
      <c r="F65" s="1"/>
      <c r="G65" s="1"/>
    </row>
    <row r="66" spans="1:7" ht="12.75">
      <c r="A66" s="5" t="s">
        <v>89</v>
      </c>
      <c r="B66" s="5"/>
      <c r="C66" s="5"/>
      <c r="D66" s="1"/>
      <c r="E66" s="1"/>
      <c r="F66" s="1"/>
      <c r="G66" s="1"/>
    </row>
    <row r="67" spans="1:7" ht="12.75">
      <c r="A67" s="5" t="s">
        <v>61</v>
      </c>
      <c r="B67" s="4"/>
      <c r="C67" s="4"/>
      <c r="D67" s="1"/>
      <c r="E67" s="1"/>
      <c r="F67" s="1"/>
      <c r="G67" s="1"/>
    </row>
    <row r="68" spans="1:7" ht="12.75">
      <c r="A68" s="5" t="s">
        <v>62</v>
      </c>
      <c r="B68" s="4"/>
      <c r="C68" s="4"/>
      <c r="D68" s="1"/>
      <c r="E68" s="1"/>
      <c r="F68" s="1"/>
      <c r="G68" s="1"/>
    </row>
    <row r="69" spans="1:7" ht="12.75">
      <c r="A69" s="5" t="s">
        <v>63</v>
      </c>
      <c r="B69" s="4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5"/>
      <c r="B71" s="4"/>
      <c r="C71" s="4"/>
      <c r="D71" s="1"/>
      <c r="E71" s="1"/>
      <c r="F71" s="1"/>
      <c r="G71" s="1"/>
    </row>
    <row r="72" spans="1:7" ht="12.75">
      <c r="A72" s="5" t="s">
        <v>71</v>
      </c>
      <c r="B72" s="5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4"/>
      <c r="B77" s="4"/>
      <c r="C77" s="4"/>
      <c r="D77" s="1"/>
      <c r="E77" s="1"/>
      <c r="F77" s="1"/>
      <c r="G77" s="1"/>
    </row>
    <row r="78" spans="1:7" ht="12.75">
      <c r="A78" s="4"/>
      <c r="B78" s="4"/>
      <c r="C78" s="4"/>
      <c r="D78" s="1"/>
      <c r="E78" s="1"/>
      <c r="F78" s="1"/>
      <c r="G78" s="1"/>
    </row>
    <row r="79" spans="1:7" ht="12.75">
      <c r="A79" s="4"/>
      <c r="B79" s="4"/>
      <c r="C79" s="4"/>
      <c r="D79" s="1"/>
      <c r="E79" s="1"/>
      <c r="F79" s="1"/>
      <c r="G79" s="1"/>
    </row>
    <row r="80" spans="1:7" ht="12.75">
      <c r="A80" s="4"/>
      <c r="B80" s="4"/>
      <c r="C80" s="4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</sheetData>
  <mergeCells count="39">
    <mergeCell ref="A20:C20"/>
    <mergeCell ref="A21:C21"/>
    <mergeCell ref="A23:B23"/>
    <mergeCell ref="A27:B27"/>
    <mergeCell ref="A32:B32"/>
    <mergeCell ref="A33:B34"/>
    <mergeCell ref="C33:C34"/>
    <mergeCell ref="A28:B28"/>
    <mergeCell ref="A29:B29"/>
    <mergeCell ref="A30:B30"/>
    <mergeCell ref="A31:B31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G111"/>
  <sheetViews>
    <sheetView workbookViewId="0" topLeftCell="A24">
      <selection activeCell="H38" sqref="H38"/>
    </sheetView>
  </sheetViews>
  <sheetFormatPr defaultColWidth="9.140625" defaultRowHeight="12.75"/>
  <cols>
    <col min="1" max="1" width="48.140625" style="0" customWidth="1"/>
    <col min="2" max="2" width="16.421875" style="0" customWidth="1"/>
    <col min="3" max="3" width="19.57421875" style="0" customWidth="1"/>
    <col min="4" max="4" width="19.851562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67</v>
      </c>
    </row>
    <row r="12" ht="12.75">
      <c r="A12" t="s">
        <v>68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3" t="s">
        <v>101</v>
      </c>
      <c r="E13" s="1"/>
      <c r="F13" s="1"/>
      <c r="G13" s="1"/>
    </row>
    <row r="14" spans="1:7" ht="12.75">
      <c r="A14" s="3" t="s">
        <v>1</v>
      </c>
      <c r="B14" s="11">
        <v>275396.52</v>
      </c>
      <c r="C14" s="11">
        <f>59692.05+80951.4+813.77+153460.5</f>
        <v>294917.72</v>
      </c>
      <c r="D14" s="11">
        <v>17549.24</v>
      </c>
      <c r="E14" s="1"/>
      <c r="F14" s="1"/>
      <c r="G14" s="1"/>
    </row>
    <row r="15" spans="1:7" ht="12.75">
      <c r="A15" s="3" t="s">
        <v>2</v>
      </c>
      <c r="B15" s="11">
        <f>B14-B17</f>
        <v>252446.81000000003</v>
      </c>
      <c r="C15" s="11">
        <f>C14-C17</f>
        <v>249669.03999999998</v>
      </c>
      <c r="D15" s="11">
        <f>D14-D17</f>
        <v>8774.62</v>
      </c>
      <c r="E15" s="1"/>
      <c r="F15" s="1"/>
      <c r="G15" s="1"/>
    </row>
    <row r="16" spans="1:7" ht="12.75">
      <c r="A16" s="3" t="s">
        <v>3</v>
      </c>
      <c r="B16" s="11"/>
      <c r="C16" s="11"/>
      <c r="D16" s="11"/>
      <c r="E16" s="1"/>
      <c r="F16" s="1"/>
      <c r="G16" s="1"/>
    </row>
    <row r="17" spans="1:7" ht="12.75">
      <c r="A17" s="3" t="s">
        <v>4</v>
      </c>
      <c r="B17" s="11">
        <v>22949.71</v>
      </c>
      <c r="C17" s="11">
        <v>45248.68</v>
      </c>
      <c r="D17" s="11">
        <v>8774.62</v>
      </c>
      <c r="E17" s="1"/>
      <c r="F17" s="1"/>
      <c r="G17" s="1"/>
    </row>
    <row r="18" spans="1:7" ht="12.75">
      <c r="A18" s="3" t="s">
        <v>5</v>
      </c>
      <c r="B18" s="12">
        <f>D56+D58+D59</f>
        <v>505344.18799999997</v>
      </c>
      <c r="C18" s="11"/>
      <c r="D18" s="1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30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53" t="s">
        <v>10</v>
      </c>
      <c r="B23" s="54"/>
      <c r="C23" s="3" t="s">
        <v>11</v>
      </c>
      <c r="D23" s="3" t="s">
        <v>12</v>
      </c>
      <c r="E23" s="1"/>
      <c r="F23" s="1"/>
      <c r="G23" s="1"/>
    </row>
    <row r="24" spans="1:7" ht="12.75">
      <c r="A24" s="18"/>
      <c r="B24" s="24"/>
      <c r="C24" s="24"/>
      <c r="D24" s="21"/>
      <c r="E24" s="1"/>
      <c r="F24" s="1"/>
      <c r="G24" s="1"/>
    </row>
    <row r="25" spans="1:7" ht="12.75">
      <c r="A25" s="19" t="s">
        <v>13</v>
      </c>
      <c r="B25" s="16"/>
      <c r="C25" s="17"/>
      <c r="D25" s="22"/>
      <c r="E25" s="1"/>
      <c r="F25" s="1"/>
      <c r="G25" s="1"/>
    </row>
    <row r="26" spans="1:7" ht="12.75">
      <c r="A26" s="20" t="s">
        <v>14</v>
      </c>
      <c r="B26" s="25"/>
      <c r="C26" s="26"/>
      <c r="D26" s="23"/>
      <c r="E26" s="1"/>
      <c r="F26" s="1"/>
      <c r="G26" s="1"/>
    </row>
    <row r="27" spans="1:7" ht="25.5" customHeight="1">
      <c r="A27" s="55" t="s">
        <v>15</v>
      </c>
      <c r="B27" s="56"/>
      <c r="C27" s="3" t="s">
        <v>16</v>
      </c>
      <c r="D27" s="12">
        <f>904.6*1.82*12</f>
        <v>19756.464</v>
      </c>
      <c r="E27" s="1"/>
      <c r="F27" s="1"/>
      <c r="G27" s="14"/>
    </row>
    <row r="28" spans="1:7" ht="12.75">
      <c r="A28" s="55" t="s">
        <v>17</v>
      </c>
      <c r="B28" s="56"/>
      <c r="C28" s="3" t="s">
        <v>18</v>
      </c>
      <c r="D28" s="12">
        <f>904.6*12*0.46</f>
        <v>4993.392000000001</v>
      </c>
      <c r="E28" s="1"/>
      <c r="F28" s="1"/>
      <c r="G28" s="1"/>
    </row>
    <row r="29" spans="1:7" ht="12.75">
      <c r="A29" s="53" t="s">
        <v>100</v>
      </c>
      <c r="B29" s="54"/>
      <c r="C29" s="3" t="s">
        <v>20</v>
      </c>
      <c r="D29" s="12"/>
      <c r="E29" s="1"/>
      <c r="F29" s="1"/>
      <c r="G29" s="1"/>
    </row>
    <row r="30" spans="1:7" ht="12.75">
      <c r="A30" s="55" t="s">
        <v>21</v>
      </c>
      <c r="B30" s="56"/>
      <c r="C30" s="3" t="s">
        <v>22</v>
      </c>
      <c r="D30" s="12">
        <f>904.6*12*0.16</f>
        <v>1736.832</v>
      </c>
      <c r="E30" s="1"/>
      <c r="F30" s="1"/>
      <c r="G30" s="1"/>
    </row>
    <row r="31" spans="1:7" ht="12.75">
      <c r="A31" s="55" t="s">
        <v>23</v>
      </c>
      <c r="B31" s="56"/>
      <c r="C31" s="3" t="s">
        <v>24</v>
      </c>
      <c r="D31" s="12">
        <f>0.18*904.6*12</f>
        <v>1953.9360000000001</v>
      </c>
      <c r="E31" s="1"/>
      <c r="F31" s="1"/>
      <c r="G31" s="1"/>
    </row>
    <row r="32" spans="1:7" ht="12.75">
      <c r="A32" s="55" t="s">
        <v>25</v>
      </c>
      <c r="B32" s="56"/>
      <c r="C32" s="3" t="s">
        <v>26</v>
      </c>
      <c r="D32" s="12">
        <f>(904.6*12*0.14)+142.77</f>
        <v>1662.4980000000003</v>
      </c>
      <c r="E32" s="1"/>
      <c r="F32" s="1"/>
      <c r="G32" s="1"/>
    </row>
    <row r="33" spans="1:7" ht="25.5" customHeight="1">
      <c r="A33" s="57" t="s">
        <v>27</v>
      </c>
      <c r="B33" s="58"/>
      <c r="C33" s="61" t="s">
        <v>28</v>
      </c>
      <c r="D33" s="12">
        <f>904.6*12*1.64</f>
        <v>17802.528</v>
      </c>
      <c r="E33" s="1"/>
      <c r="F33" s="1"/>
      <c r="G33" s="1"/>
    </row>
    <row r="34" spans="1:7" ht="12.75">
      <c r="A34" s="59"/>
      <c r="B34" s="60"/>
      <c r="C34" s="62"/>
      <c r="D34" s="12">
        <v>14981.05</v>
      </c>
      <c r="E34" s="1"/>
      <c r="F34" s="1"/>
      <c r="G34" s="1"/>
    </row>
    <row r="35" spans="1:7" ht="25.5">
      <c r="A35" s="55" t="s">
        <v>29</v>
      </c>
      <c r="B35" s="56"/>
      <c r="C35" s="3" t="s">
        <v>30</v>
      </c>
      <c r="D35" s="12">
        <f>904.6*12*0.87</f>
        <v>9444.024000000001</v>
      </c>
      <c r="E35" s="1"/>
      <c r="F35" s="1"/>
      <c r="G35" s="1"/>
    </row>
    <row r="36" spans="1:7" ht="38.25" customHeight="1">
      <c r="A36" s="55" t="s">
        <v>31</v>
      </c>
      <c r="B36" s="56"/>
      <c r="C36" s="3" t="s">
        <v>30</v>
      </c>
      <c r="D36" s="12">
        <f>904.6*12*0.78</f>
        <v>8467.056</v>
      </c>
      <c r="E36" s="1"/>
      <c r="F36" s="1"/>
      <c r="G36" s="1"/>
    </row>
    <row r="37" spans="1:7" ht="25.5">
      <c r="A37" s="55" t="s">
        <v>32</v>
      </c>
      <c r="B37" s="56"/>
      <c r="C37" s="3" t="s">
        <v>33</v>
      </c>
      <c r="D37" s="11">
        <f>904.6*12*0.05</f>
        <v>542.7600000000001</v>
      </c>
      <c r="E37" s="1"/>
      <c r="F37" s="1"/>
      <c r="G37" s="1"/>
    </row>
    <row r="38" spans="1:7" ht="25.5" customHeight="1">
      <c r="A38" s="55" t="s">
        <v>50</v>
      </c>
      <c r="B38" s="56"/>
      <c r="C38" s="3" t="s">
        <v>34</v>
      </c>
      <c r="D38" s="12">
        <f>904.6*12*0.28</f>
        <v>3039.4560000000006</v>
      </c>
      <c r="E38" s="1"/>
      <c r="F38" s="1"/>
      <c r="G38" s="1"/>
    </row>
    <row r="39" spans="1:7" ht="18.75" customHeight="1">
      <c r="A39" s="55" t="s">
        <v>35</v>
      </c>
      <c r="B39" s="56"/>
      <c r="C39" s="3" t="s">
        <v>36</v>
      </c>
      <c r="D39" s="12">
        <f>904.6*12*0.34</f>
        <v>3690.7680000000005</v>
      </c>
      <c r="E39" s="1"/>
      <c r="F39" s="1"/>
      <c r="G39" s="1"/>
    </row>
    <row r="40" spans="1:7" ht="20.25" customHeight="1">
      <c r="A40" s="55" t="s">
        <v>37</v>
      </c>
      <c r="B40" s="56"/>
      <c r="C40" s="3" t="s">
        <v>98</v>
      </c>
      <c r="D40" s="12">
        <f>904.6*12*0.11</f>
        <v>1194.0720000000001</v>
      </c>
      <c r="E40" s="1"/>
      <c r="F40" s="1"/>
      <c r="G40" s="1"/>
    </row>
    <row r="41" spans="1:7" ht="12.75">
      <c r="A41" s="55" t="s">
        <v>38</v>
      </c>
      <c r="B41" s="56"/>
      <c r="C41" s="3" t="s">
        <v>36</v>
      </c>
      <c r="D41" s="12">
        <f>904.6*12*5</f>
        <v>54276</v>
      </c>
      <c r="E41" s="1"/>
      <c r="F41" s="1"/>
      <c r="G41" s="1"/>
    </row>
    <row r="42" spans="1:7" ht="25.5" customHeight="1">
      <c r="A42" s="55" t="s">
        <v>40</v>
      </c>
      <c r="B42" s="56"/>
      <c r="C42" s="3" t="s">
        <v>39</v>
      </c>
      <c r="D42" s="12">
        <f>904.6*12*0.58</f>
        <v>6296.016</v>
      </c>
      <c r="E42" s="1"/>
      <c r="F42" s="1"/>
      <c r="G42" s="1"/>
    </row>
    <row r="43" spans="1:7" ht="32.25" customHeight="1">
      <c r="A43" s="55" t="s">
        <v>41</v>
      </c>
      <c r="B43" s="56"/>
      <c r="C43" s="3" t="s">
        <v>42</v>
      </c>
      <c r="D43" s="12">
        <f>904.6*12*0.28</f>
        <v>3039.4560000000006</v>
      </c>
      <c r="E43" s="1"/>
      <c r="F43" s="1"/>
      <c r="G43" s="1"/>
    </row>
    <row r="44" spans="1:7" ht="44.25" customHeight="1">
      <c r="A44" s="55" t="s">
        <v>119</v>
      </c>
      <c r="B44" s="56"/>
      <c r="C44" s="3" t="s">
        <v>26</v>
      </c>
      <c r="D44" s="12">
        <f>904.6*12*1.31</f>
        <v>14220.312000000002</v>
      </c>
      <c r="E44" s="1"/>
      <c r="F44" s="1"/>
      <c r="G44" s="1"/>
    </row>
    <row r="45" spans="1:7" ht="41.25" customHeight="1">
      <c r="A45" s="55" t="s">
        <v>118</v>
      </c>
      <c r="B45" s="56"/>
      <c r="C45" s="3" t="s">
        <v>43</v>
      </c>
      <c r="D45" s="12">
        <f>904.6*12*1.53</f>
        <v>16608.456000000002</v>
      </c>
      <c r="E45" s="1"/>
      <c r="F45" s="1"/>
      <c r="G45" s="1"/>
    </row>
    <row r="46" spans="1:7" ht="27" customHeight="1">
      <c r="A46" s="55" t="s">
        <v>120</v>
      </c>
      <c r="B46" s="56"/>
      <c r="C46" s="3" t="s">
        <v>135</v>
      </c>
      <c r="D46" s="11"/>
      <c r="E46" s="1"/>
      <c r="F46" s="1"/>
      <c r="G46" s="1"/>
    </row>
    <row r="47" spans="1:7" ht="25.5">
      <c r="A47" s="55" t="s">
        <v>45</v>
      </c>
      <c r="B47" s="56"/>
      <c r="C47" s="3" t="s">
        <v>46</v>
      </c>
      <c r="D47" s="12">
        <f>904.6*12*0.72</f>
        <v>7815.744000000001</v>
      </c>
      <c r="E47" s="1"/>
      <c r="F47" s="1"/>
      <c r="G47" s="1"/>
    </row>
    <row r="48" spans="1:7" ht="33" customHeight="1">
      <c r="A48" s="55" t="s">
        <v>47</v>
      </c>
      <c r="B48" s="56"/>
      <c r="C48" s="3" t="s">
        <v>20</v>
      </c>
      <c r="D48" s="12">
        <f>904.6*12*0.24</f>
        <v>2605.248</v>
      </c>
      <c r="E48" s="1"/>
      <c r="F48" s="1"/>
      <c r="G48" s="1"/>
    </row>
    <row r="49" spans="1:7" ht="25.5">
      <c r="A49" s="55" t="s">
        <v>48</v>
      </c>
      <c r="B49" s="56"/>
      <c r="C49" s="3" t="s">
        <v>105</v>
      </c>
      <c r="D49" s="12">
        <f>904.6*12*0.12</f>
        <v>1302.624</v>
      </c>
      <c r="E49" s="1"/>
      <c r="F49" s="1"/>
      <c r="G49" s="1"/>
    </row>
    <row r="50" spans="1:7" ht="25.5" customHeight="1">
      <c r="A50" s="55" t="s">
        <v>49</v>
      </c>
      <c r="B50" s="56"/>
      <c r="C50" s="3" t="s">
        <v>104</v>
      </c>
      <c r="D50" s="11">
        <v>129.56</v>
      </c>
      <c r="E50" s="1"/>
      <c r="F50" s="1"/>
      <c r="G50" s="1"/>
    </row>
    <row r="51" spans="1:7" ht="35.25" customHeight="1">
      <c r="A51" s="55" t="s">
        <v>122</v>
      </c>
      <c r="B51" s="56"/>
      <c r="C51" s="3" t="s">
        <v>53</v>
      </c>
      <c r="D51" s="12">
        <f>904.6*6.26*12</f>
        <v>67953.552</v>
      </c>
      <c r="E51" s="1"/>
      <c r="F51" s="1"/>
      <c r="G51" s="1"/>
    </row>
    <row r="52" spans="1:7" ht="12.75">
      <c r="A52" s="55" t="s">
        <v>51</v>
      </c>
      <c r="B52" s="56"/>
      <c r="C52" s="3" t="s">
        <v>36</v>
      </c>
      <c r="D52" s="12">
        <f>904.6*12*19.77</f>
        <v>214607.304</v>
      </c>
      <c r="E52" s="1"/>
      <c r="F52" s="1"/>
      <c r="G52" s="1"/>
    </row>
    <row r="53" spans="1:7" ht="12.75">
      <c r="A53" s="55" t="s">
        <v>52</v>
      </c>
      <c r="B53" s="56"/>
      <c r="C53" s="3" t="s">
        <v>54</v>
      </c>
      <c r="D53" s="11"/>
      <c r="E53" s="1"/>
      <c r="F53" s="1"/>
      <c r="G53" s="1"/>
    </row>
    <row r="54" spans="1:7" ht="12.75">
      <c r="A54" s="55" t="s">
        <v>85</v>
      </c>
      <c r="B54" s="56"/>
      <c r="C54" s="3" t="s">
        <v>54</v>
      </c>
      <c r="D54" s="11"/>
      <c r="E54" s="1"/>
      <c r="F54" s="1"/>
      <c r="G54" s="1"/>
    </row>
    <row r="55" spans="1:7" ht="25.5" customHeight="1">
      <c r="A55" s="55" t="s">
        <v>55</v>
      </c>
      <c r="B55" s="56"/>
      <c r="C55" s="3" t="s">
        <v>36</v>
      </c>
      <c r="D55" s="11"/>
      <c r="E55" s="1"/>
      <c r="F55" s="1"/>
      <c r="G55" s="1"/>
    </row>
    <row r="56" spans="1:7" ht="12.75">
      <c r="A56" s="63" t="s">
        <v>56</v>
      </c>
      <c r="B56" s="64"/>
      <c r="C56" s="10"/>
      <c r="D56" s="13">
        <f>SUM(D27:D55)</f>
        <v>478119.108</v>
      </c>
      <c r="E56" s="1"/>
      <c r="F56" s="1"/>
      <c r="G56" s="1"/>
    </row>
    <row r="57" spans="1:7" ht="12.75">
      <c r="A57" s="76" t="s">
        <v>102</v>
      </c>
      <c r="B57" s="76"/>
      <c r="C57" s="3"/>
      <c r="D57" s="11"/>
      <c r="E57" s="1"/>
      <c r="F57" s="1"/>
      <c r="G57" s="1"/>
    </row>
    <row r="58" spans="1:7" ht="12.75">
      <c r="A58" s="66" t="s">
        <v>92</v>
      </c>
      <c r="B58" s="66"/>
      <c r="C58" s="3" t="s">
        <v>103</v>
      </c>
      <c r="D58" s="11">
        <v>9798.73</v>
      </c>
      <c r="E58" s="1"/>
      <c r="F58" s="1"/>
      <c r="G58" s="1"/>
    </row>
    <row r="59" spans="1:7" ht="12.75">
      <c r="A59" s="66" t="s">
        <v>95</v>
      </c>
      <c r="B59" s="66"/>
      <c r="C59" s="3" t="s">
        <v>96</v>
      </c>
      <c r="D59" s="11">
        <v>17426.35</v>
      </c>
      <c r="E59" s="1"/>
      <c r="F59" s="1"/>
      <c r="G59" s="1"/>
    </row>
    <row r="60" spans="1:7" ht="12.75">
      <c r="A60" s="67"/>
      <c r="B60" s="67"/>
      <c r="C60" s="1"/>
      <c r="D60" s="1"/>
      <c r="E60" s="1"/>
      <c r="F60" s="1"/>
      <c r="G60" s="1"/>
    </row>
    <row r="61" spans="1:7" ht="12.75">
      <c r="A61" s="67"/>
      <c r="B61" s="67"/>
      <c r="C61" s="1"/>
      <c r="D61" s="1"/>
      <c r="E61" s="1"/>
      <c r="F61" s="1"/>
      <c r="G61" s="1"/>
    </row>
    <row r="62" spans="1:7" ht="12.75">
      <c r="A62" s="65"/>
      <c r="B62" s="65"/>
      <c r="C62" s="1"/>
      <c r="D62" s="1"/>
      <c r="E62" s="1"/>
      <c r="F62" s="1"/>
      <c r="G62" s="1"/>
    </row>
    <row r="63" spans="1:7" ht="12.75">
      <c r="A63" s="5" t="s">
        <v>58</v>
      </c>
      <c r="B63" s="5"/>
      <c r="C63" s="5"/>
      <c r="D63" s="1"/>
      <c r="E63" s="1"/>
      <c r="F63" s="1"/>
      <c r="G63" s="1"/>
    </row>
    <row r="64" spans="1:7" ht="12.75">
      <c r="A64" s="5" t="s">
        <v>88</v>
      </c>
      <c r="B64" s="5"/>
      <c r="C64" s="5"/>
      <c r="D64" s="1"/>
      <c r="E64" s="1"/>
      <c r="F64" s="1"/>
      <c r="G64" s="1"/>
    </row>
    <row r="65" spans="1:7" ht="12.75">
      <c r="A65" s="5" t="s">
        <v>59</v>
      </c>
      <c r="B65" s="5"/>
      <c r="C65" s="5"/>
      <c r="D65" s="1"/>
      <c r="E65" s="1"/>
      <c r="F65" s="1"/>
      <c r="G65" s="1"/>
    </row>
    <row r="66" spans="1:7" ht="12.75">
      <c r="A66" s="5" t="s">
        <v>89</v>
      </c>
      <c r="B66" s="5"/>
      <c r="C66" s="5"/>
      <c r="D66" s="1"/>
      <c r="E66" s="1"/>
      <c r="F66" s="1"/>
      <c r="G66" s="1"/>
    </row>
    <row r="67" spans="1:7" ht="12.75">
      <c r="A67" s="5" t="s">
        <v>61</v>
      </c>
      <c r="B67" s="4"/>
      <c r="C67" s="4"/>
      <c r="D67" s="1"/>
      <c r="E67" s="1"/>
      <c r="F67" s="1"/>
      <c r="G67" s="1"/>
    </row>
    <row r="68" spans="1:7" ht="12.75">
      <c r="A68" s="5" t="s">
        <v>62</v>
      </c>
      <c r="B68" s="4"/>
      <c r="C68" s="4"/>
      <c r="D68" s="1"/>
      <c r="E68" s="1"/>
      <c r="F68" s="1"/>
      <c r="G68" s="1"/>
    </row>
    <row r="69" spans="1:7" ht="12.75">
      <c r="A69" s="5" t="s">
        <v>63</v>
      </c>
      <c r="B69" s="4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5"/>
      <c r="B71" s="4"/>
      <c r="C71" s="4"/>
      <c r="D71" s="1"/>
      <c r="E71" s="1"/>
      <c r="F71" s="1"/>
      <c r="G71" s="1"/>
    </row>
    <row r="72" spans="1:7" ht="12.75">
      <c r="A72" s="5" t="s">
        <v>71</v>
      </c>
      <c r="B72" s="5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4"/>
      <c r="B77" s="4"/>
      <c r="C77" s="4"/>
      <c r="D77" s="1"/>
      <c r="E77" s="1"/>
      <c r="F77" s="1"/>
      <c r="G77" s="1"/>
    </row>
    <row r="78" spans="1:7" ht="12.75">
      <c r="A78" s="4"/>
      <c r="B78" s="4"/>
      <c r="C78" s="4"/>
      <c r="D78" s="1"/>
      <c r="E78" s="1"/>
      <c r="F78" s="1"/>
      <c r="G78" s="1"/>
    </row>
    <row r="79" spans="1:7" ht="12.75">
      <c r="A79" s="4"/>
      <c r="B79" s="4"/>
      <c r="C79" s="4"/>
      <c r="D79" s="1"/>
      <c r="E79" s="1"/>
      <c r="F79" s="1"/>
      <c r="G79" s="1"/>
    </row>
    <row r="80" spans="1:7" ht="12.75">
      <c r="A80" s="4"/>
      <c r="B80" s="4"/>
      <c r="C80" s="4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</sheetData>
  <mergeCells count="39">
    <mergeCell ref="A20:C20"/>
    <mergeCell ref="A21:C21"/>
    <mergeCell ref="C33:C34"/>
    <mergeCell ref="A27:B27"/>
    <mergeCell ref="A28:B28"/>
    <mergeCell ref="A23:B23"/>
    <mergeCell ref="A29:B29"/>
    <mergeCell ref="A30:B30"/>
    <mergeCell ref="A31:B31"/>
    <mergeCell ref="A32:B32"/>
    <mergeCell ref="A44:B44"/>
    <mergeCell ref="A33:B34"/>
    <mergeCell ref="A35:B35"/>
    <mergeCell ref="A52:B52"/>
    <mergeCell ref="A45:B45"/>
    <mergeCell ref="A46:B46"/>
    <mergeCell ref="A47:B47"/>
    <mergeCell ref="A48:B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51:B51"/>
    <mergeCell ref="A54:B54"/>
    <mergeCell ref="A55:B55"/>
    <mergeCell ref="A56:B56"/>
    <mergeCell ref="A53:B53"/>
    <mergeCell ref="A57:B57"/>
    <mergeCell ref="A62:B62"/>
    <mergeCell ref="A58:B58"/>
    <mergeCell ref="A59:B59"/>
    <mergeCell ref="A60:B60"/>
    <mergeCell ref="A61:B61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108"/>
  <sheetViews>
    <sheetView workbookViewId="0" topLeftCell="A23">
      <selection activeCell="D27" sqref="D27:D41"/>
    </sheetView>
  </sheetViews>
  <sheetFormatPr defaultColWidth="9.140625" defaultRowHeight="12.75"/>
  <cols>
    <col min="1" max="1" width="48.140625" style="0" customWidth="1"/>
    <col min="2" max="2" width="18.57421875" style="0" customWidth="1"/>
    <col min="3" max="3" width="19.57421875" style="0" customWidth="1"/>
    <col min="4" max="4" width="19.8515625" style="0" customWidth="1"/>
  </cols>
  <sheetData>
    <row r="5" spans="1:3" ht="12.75">
      <c r="A5" s="8" t="s">
        <v>7</v>
      </c>
      <c r="B5" s="2"/>
      <c r="C5" s="2"/>
    </row>
    <row r="6" spans="1:3" ht="12.75">
      <c r="A6" s="8" t="s">
        <v>8</v>
      </c>
      <c r="B6" s="2"/>
      <c r="C6" s="2"/>
    </row>
    <row r="7" spans="1:3" ht="12.75">
      <c r="A7" s="8" t="s">
        <v>91</v>
      </c>
      <c r="B7" s="2"/>
      <c r="C7" s="2"/>
    </row>
    <row r="8" spans="1:3" ht="12.75">
      <c r="A8" s="6"/>
      <c r="B8" s="2"/>
      <c r="C8" s="2"/>
    </row>
    <row r="10" ht="12.75">
      <c r="A10" s="9" t="s">
        <v>69</v>
      </c>
    </row>
    <row r="12" ht="12.75">
      <c r="A12" t="s">
        <v>70</v>
      </c>
    </row>
    <row r="13" spans="1:7" ht="38.25" customHeight="1">
      <c r="A13" s="7" t="s">
        <v>0</v>
      </c>
      <c r="B13" s="7" t="s">
        <v>64</v>
      </c>
      <c r="C13" s="7" t="s">
        <v>65</v>
      </c>
      <c r="D13" s="3" t="s">
        <v>101</v>
      </c>
      <c r="E13" s="1"/>
      <c r="F13" s="1"/>
      <c r="G13" s="1"/>
    </row>
    <row r="14" spans="1:7" ht="12.75">
      <c r="A14" s="3" t="s">
        <v>1</v>
      </c>
      <c r="B14" s="11">
        <v>169082.64</v>
      </c>
      <c r="C14" s="11">
        <v>136582</v>
      </c>
      <c r="D14" s="11">
        <v>11290.8</v>
      </c>
      <c r="E14" s="1"/>
      <c r="F14" s="1"/>
      <c r="G14" s="1"/>
    </row>
    <row r="15" spans="1:7" ht="12.75">
      <c r="A15" s="3" t="s">
        <v>2</v>
      </c>
      <c r="B15" s="11">
        <f>B14-B17</f>
        <v>154992.42</v>
      </c>
      <c r="C15" s="11">
        <f>C14-C17</f>
        <v>127043.44</v>
      </c>
      <c r="D15" s="11">
        <f>D14-D17</f>
        <v>5645.4</v>
      </c>
      <c r="E15" s="1"/>
      <c r="F15" s="1"/>
      <c r="G15" s="1"/>
    </row>
    <row r="16" spans="1:7" ht="12.75">
      <c r="A16" s="3" t="s">
        <v>3</v>
      </c>
      <c r="B16" s="11"/>
      <c r="C16" s="11"/>
      <c r="D16" s="11"/>
      <c r="E16" s="1"/>
      <c r="F16" s="1"/>
      <c r="G16" s="1"/>
    </row>
    <row r="17" spans="1:7" ht="12.75">
      <c r="A17" s="3" t="s">
        <v>4</v>
      </c>
      <c r="B17" s="11">
        <v>14090.22</v>
      </c>
      <c r="C17" s="11">
        <v>9538.56</v>
      </c>
      <c r="D17" s="11">
        <v>5645.4</v>
      </c>
      <c r="E17" s="1"/>
      <c r="F17" s="1"/>
      <c r="G17" s="1"/>
    </row>
    <row r="18" spans="1:7" ht="12.75">
      <c r="A18" s="3" t="s">
        <v>5</v>
      </c>
      <c r="B18" s="12">
        <f>D53+D55+D56</f>
        <v>295738.43</v>
      </c>
      <c r="C18" s="11"/>
      <c r="D18" s="1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customHeight="1">
      <c r="A20" s="51" t="s">
        <v>9</v>
      </c>
      <c r="B20" s="51"/>
      <c r="C20" s="51"/>
      <c r="D20" s="1"/>
      <c r="E20" s="1"/>
      <c r="F20" s="1"/>
      <c r="G20" s="1"/>
    </row>
    <row r="21" spans="1:7" ht="15" customHeight="1">
      <c r="A21" s="52" t="s">
        <v>90</v>
      </c>
      <c r="B21" s="52"/>
      <c r="C21" s="52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53" t="s">
        <v>10</v>
      </c>
      <c r="B23" s="54"/>
      <c r="C23" s="3" t="s">
        <v>11</v>
      </c>
      <c r="D23" s="3" t="s">
        <v>12</v>
      </c>
      <c r="E23" s="1"/>
      <c r="F23" s="1"/>
      <c r="G23" s="1"/>
    </row>
    <row r="24" spans="1:7" ht="12.75">
      <c r="A24" s="18"/>
      <c r="B24" s="1"/>
      <c r="C24" s="1"/>
      <c r="D24" s="21"/>
      <c r="E24" s="1"/>
      <c r="F24" s="1"/>
      <c r="G24" s="1"/>
    </row>
    <row r="25" spans="1:7" ht="12.75">
      <c r="A25" s="19" t="s">
        <v>13</v>
      </c>
      <c r="B25" s="5"/>
      <c r="C25" s="4"/>
      <c r="D25" s="22"/>
      <c r="E25" s="1"/>
      <c r="F25" s="1"/>
      <c r="G25" s="1"/>
    </row>
    <row r="26" spans="1:7" ht="12.75">
      <c r="A26" s="20" t="s">
        <v>14</v>
      </c>
      <c r="B26" s="5"/>
      <c r="C26" s="4"/>
      <c r="D26" s="23"/>
      <c r="E26" s="1"/>
      <c r="F26" s="1"/>
      <c r="G26" s="1"/>
    </row>
    <row r="27" spans="1:7" ht="25.5" customHeight="1">
      <c r="A27" s="55" t="s">
        <v>15</v>
      </c>
      <c r="B27" s="56"/>
      <c r="C27" s="3" t="s">
        <v>16</v>
      </c>
      <c r="D27" s="11">
        <f>582*12*1.82</f>
        <v>12710.880000000001</v>
      </c>
      <c r="E27" s="1"/>
      <c r="F27" s="1"/>
      <c r="G27" s="14"/>
    </row>
    <row r="28" spans="1:7" ht="12.75">
      <c r="A28" s="55" t="s">
        <v>17</v>
      </c>
      <c r="B28" s="56"/>
      <c r="C28" s="3" t="s">
        <v>18</v>
      </c>
      <c r="D28" s="11">
        <f>6984*0.46</f>
        <v>3212.6400000000003</v>
      </c>
      <c r="E28" s="1"/>
      <c r="F28" s="1"/>
      <c r="G28" s="1"/>
    </row>
    <row r="29" spans="1:7" ht="12.75">
      <c r="A29" s="53" t="s">
        <v>100</v>
      </c>
      <c r="B29" s="54"/>
      <c r="C29" s="3" t="s">
        <v>20</v>
      </c>
      <c r="D29" s="11"/>
      <c r="E29" s="1"/>
      <c r="F29" s="1"/>
      <c r="G29" s="1"/>
    </row>
    <row r="30" spans="1:7" ht="12.75">
      <c r="A30" s="55" t="s">
        <v>21</v>
      </c>
      <c r="B30" s="56"/>
      <c r="C30" s="3" t="s">
        <v>22</v>
      </c>
      <c r="D30" s="11">
        <f>6984*0.16</f>
        <v>1117.44</v>
      </c>
      <c r="E30" s="1"/>
      <c r="F30" s="1"/>
      <c r="G30" s="1"/>
    </row>
    <row r="31" spans="1:7" ht="12.75">
      <c r="A31" s="55" t="s">
        <v>23</v>
      </c>
      <c r="B31" s="56"/>
      <c r="C31" s="3" t="s">
        <v>24</v>
      </c>
      <c r="D31" s="11">
        <f>6984*0.18</f>
        <v>1257.12</v>
      </c>
      <c r="E31" s="1"/>
      <c r="F31" s="1"/>
      <c r="G31" s="1"/>
    </row>
    <row r="32" spans="1:7" ht="12.75">
      <c r="A32" s="55" t="s">
        <v>25</v>
      </c>
      <c r="B32" s="56"/>
      <c r="C32" s="3" t="s">
        <v>26</v>
      </c>
      <c r="D32" s="11">
        <f>(6984*0.14)+1872.24</f>
        <v>2850</v>
      </c>
      <c r="E32" s="1"/>
      <c r="F32" s="1"/>
      <c r="G32" s="1"/>
    </row>
    <row r="33" spans="1:7" ht="25.5" customHeight="1">
      <c r="A33" s="57" t="s">
        <v>27</v>
      </c>
      <c r="B33" s="58"/>
      <c r="C33" s="61" t="s">
        <v>28</v>
      </c>
      <c r="D33" s="11">
        <f>6984*1.64</f>
        <v>11453.76</v>
      </c>
      <c r="E33" s="1"/>
      <c r="F33" s="1"/>
      <c r="G33" s="1"/>
    </row>
    <row r="34" spans="1:7" ht="12.75">
      <c r="A34" s="59"/>
      <c r="B34" s="60"/>
      <c r="C34" s="62"/>
      <c r="D34" s="11">
        <v>9638.49</v>
      </c>
      <c r="E34" s="1"/>
      <c r="F34" s="1"/>
      <c r="G34" s="1"/>
    </row>
    <row r="35" spans="1:7" ht="25.5">
      <c r="A35" s="55" t="s">
        <v>29</v>
      </c>
      <c r="B35" s="56"/>
      <c r="C35" s="3" t="s">
        <v>30</v>
      </c>
      <c r="D35" s="11">
        <f>6984*0.78</f>
        <v>5447.52</v>
      </c>
      <c r="E35" s="1"/>
      <c r="F35" s="1"/>
      <c r="G35" s="1"/>
    </row>
    <row r="36" spans="1:7" ht="38.25" customHeight="1">
      <c r="A36" s="55" t="s">
        <v>31</v>
      </c>
      <c r="B36" s="56"/>
      <c r="C36" s="3" t="s">
        <v>30</v>
      </c>
      <c r="D36" s="11">
        <f>6984*0.78</f>
        <v>5447.52</v>
      </c>
      <c r="E36" s="1"/>
      <c r="F36" s="1"/>
      <c r="G36" s="1"/>
    </row>
    <row r="37" spans="1:7" ht="25.5">
      <c r="A37" s="55" t="s">
        <v>32</v>
      </c>
      <c r="B37" s="56"/>
      <c r="C37" s="3" t="s">
        <v>33</v>
      </c>
      <c r="D37" s="11">
        <f>6984*0.05</f>
        <v>349.20000000000005</v>
      </c>
      <c r="E37" s="1"/>
      <c r="F37" s="1"/>
      <c r="G37" s="1"/>
    </row>
    <row r="38" spans="1:7" ht="25.5" customHeight="1">
      <c r="A38" s="55" t="s">
        <v>50</v>
      </c>
      <c r="B38" s="56"/>
      <c r="C38" s="3" t="s">
        <v>34</v>
      </c>
      <c r="D38" s="11">
        <f>0.07*6984</f>
        <v>488.88000000000005</v>
      </c>
      <c r="E38" s="1"/>
      <c r="F38" s="1"/>
      <c r="G38" s="1"/>
    </row>
    <row r="39" spans="1:7" ht="18.75" customHeight="1">
      <c r="A39" s="55" t="s">
        <v>35</v>
      </c>
      <c r="B39" s="56"/>
      <c r="C39" s="3" t="s">
        <v>36</v>
      </c>
      <c r="D39" s="11">
        <f>6984*0.34</f>
        <v>2374.56</v>
      </c>
      <c r="E39" s="1"/>
      <c r="F39" s="1"/>
      <c r="G39" s="1"/>
    </row>
    <row r="40" spans="1:7" ht="20.25" customHeight="1">
      <c r="A40" s="55" t="s">
        <v>37</v>
      </c>
      <c r="B40" s="56"/>
      <c r="C40" s="3" t="s">
        <v>98</v>
      </c>
      <c r="D40" s="11">
        <f>6984*0.11</f>
        <v>768.24</v>
      </c>
      <c r="E40" s="1"/>
      <c r="F40" s="1"/>
      <c r="G40" s="1"/>
    </row>
    <row r="41" spans="1:7" ht="12.75">
      <c r="A41" s="55" t="s">
        <v>38</v>
      </c>
      <c r="B41" s="56"/>
      <c r="C41" s="3" t="s">
        <v>36</v>
      </c>
      <c r="D41" s="11">
        <f>6984*5</f>
        <v>34920</v>
      </c>
      <c r="E41" s="1"/>
      <c r="F41" s="1"/>
      <c r="G41" s="1"/>
    </row>
    <row r="42" spans="1:7" ht="33.75" customHeight="1">
      <c r="A42" s="55" t="s">
        <v>119</v>
      </c>
      <c r="B42" s="56"/>
      <c r="C42" s="3" t="s">
        <v>26</v>
      </c>
      <c r="D42" s="11">
        <f>6984*1.31</f>
        <v>9149.04</v>
      </c>
      <c r="E42" s="1"/>
      <c r="F42" s="1"/>
      <c r="G42" s="1"/>
    </row>
    <row r="43" spans="1:7" ht="27" customHeight="1">
      <c r="A43" s="55" t="s">
        <v>118</v>
      </c>
      <c r="B43" s="56"/>
      <c r="C43" s="3" t="s">
        <v>43</v>
      </c>
      <c r="D43" s="11">
        <f>6984*1.53</f>
        <v>10685.52</v>
      </c>
      <c r="E43" s="1"/>
      <c r="F43" s="1"/>
      <c r="G43" s="1"/>
    </row>
    <row r="44" spans="1:7" ht="26.25" customHeight="1">
      <c r="A44" s="55" t="s">
        <v>44</v>
      </c>
      <c r="B44" s="56"/>
      <c r="C44" s="3" t="s">
        <v>99</v>
      </c>
      <c r="D44" s="11"/>
      <c r="E44" s="1"/>
      <c r="F44" s="1"/>
      <c r="G44" s="1"/>
    </row>
    <row r="45" spans="1:7" ht="25.5">
      <c r="A45" s="55" t="s">
        <v>45</v>
      </c>
      <c r="B45" s="56"/>
      <c r="C45" s="3" t="s">
        <v>46</v>
      </c>
      <c r="D45" s="11">
        <f>6984*0.72</f>
        <v>5028.48</v>
      </c>
      <c r="E45" s="1"/>
      <c r="F45" s="1"/>
      <c r="G45" s="1"/>
    </row>
    <row r="46" spans="1:7" ht="33" customHeight="1">
      <c r="A46" s="55" t="s">
        <v>123</v>
      </c>
      <c r="B46" s="56"/>
      <c r="C46" s="3" t="s">
        <v>20</v>
      </c>
      <c r="D46" s="11">
        <f>6984*0.36</f>
        <v>2514.24</v>
      </c>
      <c r="E46" s="1"/>
      <c r="F46" s="1"/>
      <c r="G46" s="1"/>
    </row>
    <row r="47" spans="1:7" ht="25.5" customHeight="1">
      <c r="A47" s="55" t="s">
        <v>49</v>
      </c>
      <c r="B47" s="56"/>
      <c r="C47" s="3" t="s">
        <v>103</v>
      </c>
      <c r="D47" s="11">
        <v>750.56</v>
      </c>
      <c r="E47" s="1"/>
      <c r="F47" s="1"/>
      <c r="G47" s="1"/>
    </row>
    <row r="48" spans="1:7" ht="29.25" customHeight="1">
      <c r="A48" s="55" t="s">
        <v>122</v>
      </c>
      <c r="B48" s="56"/>
      <c r="C48" s="3" t="s">
        <v>53</v>
      </c>
      <c r="D48" s="11">
        <f>6984*19.77</f>
        <v>138073.68</v>
      </c>
      <c r="E48" s="1"/>
      <c r="F48" s="1"/>
      <c r="G48" s="1"/>
    </row>
    <row r="49" spans="1:7" ht="12.75">
      <c r="A49" s="55" t="s">
        <v>51</v>
      </c>
      <c r="B49" s="56"/>
      <c r="C49" s="3" t="s">
        <v>36</v>
      </c>
      <c r="D49" s="11">
        <f>6984*5.26</f>
        <v>36735.84</v>
      </c>
      <c r="E49" s="1"/>
      <c r="F49" s="1"/>
      <c r="G49" s="1"/>
    </row>
    <row r="50" spans="1:7" ht="12.75">
      <c r="A50" s="55" t="s">
        <v>52</v>
      </c>
      <c r="B50" s="56"/>
      <c r="C50" s="3" t="s">
        <v>54</v>
      </c>
      <c r="D50" s="11"/>
      <c r="E50" s="1"/>
      <c r="F50" s="1"/>
      <c r="G50" s="1"/>
    </row>
    <row r="51" spans="1:7" ht="12.75">
      <c r="A51" s="55" t="s">
        <v>85</v>
      </c>
      <c r="B51" s="56"/>
      <c r="C51" s="3" t="s">
        <v>54</v>
      </c>
      <c r="D51" s="11"/>
      <c r="E51" s="1"/>
      <c r="F51" s="1"/>
      <c r="G51" s="1"/>
    </row>
    <row r="52" spans="1:7" ht="25.5" customHeight="1">
      <c r="A52" s="55" t="s">
        <v>55</v>
      </c>
      <c r="B52" s="56"/>
      <c r="C52" s="3" t="s">
        <v>36</v>
      </c>
      <c r="D52" s="11"/>
      <c r="E52" s="1"/>
      <c r="F52" s="1"/>
      <c r="G52" s="1"/>
    </row>
    <row r="53" spans="1:7" ht="12.75">
      <c r="A53" s="63" t="s">
        <v>56</v>
      </c>
      <c r="B53" s="64"/>
      <c r="C53" s="10"/>
      <c r="D53" s="13">
        <f>SUM(D27:D52)</f>
        <v>294973.61</v>
      </c>
      <c r="E53" s="1"/>
      <c r="F53" s="1"/>
      <c r="G53" s="1"/>
    </row>
    <row r="54" spans="1:7" ht="12.75">
      <c r="A54" s="55" t="s">
        <v>57</v>
      </c>
      <c r="B54" s="56"/>
      <c r="C54" s="3"/>
      <c r="D54" s="11"/>
      <c r="E54" s="1"/>
      <c r="F54" s="1"/>
      <c r="G54" s="1"/>
    </row>
    <row r="55" spans="1:7" ht="12.75">
      <c r="A55" s="66" t="s">
        <v>111</v>
      </c>
      <c r="B55" s="66"/>
      <c r="C55" s="3" t="s">
        <v>20</v>
      </c>
      <c r="D55" s="11">
        <v>764.82</v>
      </c>
      <c r="E55" s="1"/>
      <c r="F55" s="1"/>
      <c r="G55" s="1"/>
    </row>
    <row r="56" spans="1:7" ht="12.75">
      <c r="A56" s="66"/>
      <c r="B56" s="66"/>
      <c r="C56" s="3"/>
      <c r="D56" s="11"/>
      <c r="E56" s="1"/>
      <c r="F56" s="1"/>
      <c r="G56" s="1"/>
    </row>
    <row r="57" spans="1:7" ht="12.75">
      <c r="A57" s="67"/>
      <c r="B57" s="67"/>
      <c r="C57" s="1"/>
      <c r="D57" s="1"/>
      <c r="E57" s="1"/>
      <c r="F57" s="1"/>
      <c r="G57" s="1"/>
    </row>
    <row r="58" spans="1:7" ht="12.75">
      <c r="A58" s="67"/>
      <c r="B58" s="67"/>
      <c r="C58" s="1"/>
      <c r="D58" s="1"/>
      <c r="E58" s="1"/>
      <c r="F58" s="1"/>
      <c r="G58" s="1"/>
    </row>
    <row r="59" spans="1:7" ht="12.75">
      <c r="A59" s="65"/>
      <c r="B59" s="65"/>
      <c r="C59" s="1"/>
      <c r="D59" s="1"/>
      <c r="E59" s="1"/>
      <c r="F59" s="1"/>
      <c r="G59" s="1"/>
    </row>
    <row r="60" spans="1:7" ht="12.75">
      <c r="A60" s="5" t="s">
        <v>58</v>
      </c>
      <c r="B60" s="5"/>
      <c r="C60" s="5"/>
      <c r="D60" s="1"/>
      <c r="E60" s="1"/>
      <c r="F60" s="1"/>
      <c r="G60" s="1"/>
    </row>
    <row r="61" spans="1:7" ht="12.75">
      <c r="A61" s="5" t="s">
        <v>88</v>
      </c>
      <c r="B61" s="5"/>
      <c r="C61" s="5"/>
      <c r="D61" s="1"/>
      <c r="E61" s="1"/>
      <c r="F61" s="1"/>
      <c r="G61" s="1"/>
    </row>
    <row r="62" spans="1:7" ht="12.75">
      <c r="A62" s="5" t="s">
        <v>59</v>
      </c>
      <c r="B62" s="5"/>
      <c r="C62" s="5"/>
      <c r="D62" s="1"/>
      <c r="E62" s="1"/>
      <c r="F62" s="1"/>
      <c r="G62" s="1"/>
    </row>
    <row r="63" spans="1:7" ht="12.75">
      <c r="A63" s="5" t="s">
        <v>89</v>
      </c>
      <c r="B63" s="5"/>
      <c r="C63" s="5"/>
      <c r="D63" s="1"/>
      <c r="E63" s="1"/>
      <c r="F63" s="1"/>
      <c r="G63" s="1"/>
    </row>
    <row r="64" spans="1:7" ht="12.75">
      <c r="A64" s="5" t="s">
        <v>61</v>
      </c>
      <c r="B64" s="4"/>
      <c r="C64" s="4"/>
      <c r="D64" s="1"/>
      <c r="E64" s="1"/>
      <c r="F64" s="1"/>
      <c r="G64" s="1"/>
    </row>
    <row r="65" spans="1:7" ht="12.75">
      <c r="A65" s="5" t="s">
        <v>62</v>
      </c>
      <c r="B65" s="4"/>
      <c r="C65" s="4"/>
      <c r="D65" s="1"/>
      <c r="E65" s="1"/>
      <c r="F65" s="1"/>
      <c r="G65" s="1"/>
    </row>
    <row r="66" spans="1:7" ht="12.75">
      <c r="A66" s="5" t="s">
        <v>63</v>
      </c>
      <c r="B66" s="4"/>
      <c r="C66" s="4"/>
      <c r="D66" s="1"/>
      <c r="E66" s="1"/>
      <c r="F66" s="1"/>
      <c r="G66" s="1"/>
    </row>
    <row r="67" spans="1:7" ht="12.75">
      <c r="A67" s="4"/>
      <c r="B67" s="4"/>
      <c r="C67" s="4"/>
      <c r="D67" s="1"/>
      <c r="E67" s="1"/>
      <c r="F67" s="1"/>
      <c r="G67" s="1"/>
    </row>
    <row r="68" spans="1:7" ht="12.75">
      <c r="A68" s="5"/>
      <c r="B68" s="4"/>
      <c r="C68" s="4"/>
      <c r="D68" s="1"/>
      <c r="E68" s="1"/>
      <c r="F68" s="1"/>
      <c r="G68" s="1"/>
    </row>
    <row r="69" spans="1:7" ht="12.75">
      <c r="A69" s="5" t="s">
        <v>71</v>
      </c>
      <c r="B69" s="5"/>
      <c r="C69" s="4"/>
      <c r="D69" s="1"/>
      <c r="E69" s="1"/>
      <c r="F69" s="1"/>
      <c r="G69" s="1"/>
    </row>
    <row r="70" spans="1:7" ht="12.75">
      <c r="A70" s="4"/>
      <c r="B70" s="4"/>
      <c r="C70" s="4"/>
      <c r="D70" s="1"/>
      <c r="E70" s="1"/>
      <c r="F70" s="1"/>
      <c r="G70" s="1"/>
    </row>
    <row r="71" spans="1:7" ht="12.75">
      <c r="A71" s="4"/>
      <c r="B71" s="4"/>
      <c r="C71" s="4"/>
      <c r="D71" s="1"/>
      <c r="E71" s="1"/>
      <c r="F71" s="1"/>
      <c r="G71" s="1"/>
    </row>
    <row r="72" spans="1:7" ht="12.75">
      <c r="A72" s="4"/>
      <c r="B72" s="4"/>
      <c r="C72" s="4"/>
      <c r="D72" s="1"/>
      <c r="E72" s="1"/>
      <c r="F72" s="1"/>
      <c r="G72" s="1"/>
    </row>
    <row r="73" spans="1:7" ht="12.75">
      <c r="A73" s="4"/>
      <c r="B73" s="4"/>
      <c r="C73" s="4"/>
      <c r="D73" s="1"/>
      <c r="E73" s="1"/>
      <c r="F73" s="1"/>
      <c r="G73" s="1"/>
    </row>
    <row r="74" spans="1:7" ht="12.75">
      <c r="A74" s="4"/>
      <c r="B74" s="4"/>
      <c r="C74" s="4"/>
      <c r="D74" s="1"/>
      <c r="E74" s="1"/>
      <c r="F74" s="1"/>
      <c r="G74" s="1"/>
    </row>
    <row r="75" spans="1:7" ht="12.75">
      <c r="A75" s="4"/>
      <c r="B75" s="4"/>
      <c r="C75" s="4"/>
      <c r="D75" s="1"/>
      <c r="E75" s="1"/>
      <c r="F75" s="1"/>
      <c r="G75" s="1"/>
    </row>
    <row r="76" spans="1:7" ht="12.75">
      <c r="A76" s="4"/>
      <c r="B76" s="4"/>
      <c r="C76" s="4"/>
      <c r="D76" s="1"/>
      <c r="E76" s="1"/>
      <c r="F76" s="1"/>
      <c r="G76" s="1"/>
    </row>
    <row r="77" spans="1:7" ht="12.75">
      <c r="A77" s="4"/>
      <c r="B77" s="4"/>
      <c r="C77" s="4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</sheetData>
  <mergeCells count="36">
    <mergeCell ref="A59:B59"/>
    <mergeCell ref="A54:B54"/>
    <mergeCell ref="A55:B55"/>
    <mergeCell ref="A56:B56"/>
    <mergeCell ref="A57:B57"/>
    <mergeCell ref="A51:B51"/>
    <mergeCell ref="A52:B52"/>
    <mergeCell ref="A53:B53"/>
    <mergeCell ref="A58:B58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4"/>
    <mergeCell ref="C33:C34"/>
    <mergeCell ref="A28:B28"/>
    <mergeCell ref="A29:B29"/>
    <mergeCell ref="A30:B30"/>
    <mergeCell ref="A20:C20"/>
    <mergeCell ref="A21:C21"/>
    <mergeCell ref="A23:B23"/>
    <mergeCell ref="A27:B27"/>
  </mergeCells>
  <printOptions/>
  <pageMargins left="0.75" right="0.75" top="1" bottom="1" header="0.5" footer="0.5"/>
  <pageSetup horizontalDpi="600" verticalDpi="600" orientation="portrait" paperSize="9" scale="82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epausheva</cp:lastModifiedBy>
  <cp:lastPrinted>2015-04-01T06:29:29Z</cp:lastPrinted>
  <dcterms:created xsi:type="dcterms:W3CDTF">1996-10-08T23:32:33Z</dcterms:created>
  <dcterms:modified xsi:type="dcterms:W3CDTF">2015-04-01T08:32:01Z</dcterms:modified>
  <cp:category/>
  <cp:version/>
  <cp:contentType/>
  <cp:contentStatus/>
</cp:coreProperties>
</file>