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0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93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2112.xml" ContentType="application/vnd.openxmlformats-officedocument.spreadsheetml.revisionLog+xml"/>
  <Override PartName="/xl/revisions/revisionLog15111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71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12212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201.xml" ContentType="application/vnd.openxmlformats-officedocument.spreadsheetml.revisionLog+xml"/>
  <Override PartName="/xl/revisions/revisionLog1281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1831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1210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132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7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140" windowWidth="12120" windowHeight="5820"/>
  </bookViews>
  <sheets>
    <sheet name=" внеочер. февраль" sheetId="1" r:id="rId1"/>
    <sheet name="Лист1" sheetId="2" r:id="rId2"/>
  </sheets>
  <definedNames>
    <definedName name="_xlnm._FilterDatabase" localSheetId="0" hidden="1">' внеочер. февраль'!$A$10:$O$1649</definedName>
    <definedName name="Z_00E259DC_DC61_4FC0_A967_6A9CC683E0D7_.wvu.FilterData" localSheetId="0" hidden="1">' внеочер. февраль'!$A$9:$N$1648</definedName>
    <definedName name="Z_011D4837_5D5B_4CC8_ABE6_F008630D281B_.wvu.FilterData" localSheetId="0" hidden="1">' внеочер. февраль'!$A$10:$N$1648</definedName>
    <definedName name="Z_01347AF1_99EC_4423_B729_E5C7BE72F43F_.wvu.FilterData" localSheetId="0" hidden="1">' внеочер. февраль'!$A$10:$O$1649</definedName>
    <definedName name="Z_014ACE9D_DACA_4BFB_9A8A_905DD37AD441_.wvu.FilterData" localSheetId="0" hidden="1">' внеочер. февраль'!$A$10:$N$1648</definedName>
    <definedName name="Z_01738F12_2B18_40FB_A132_AD5140A21E93_.wvu.FilterData" localSheetId="0" hidden="1">' внеочер. февраль'!$A$10:$P$1648</definedName>
    <definedName name="Z_027395ED_9F66_46D4_9A7C_92474CF01C1B_.wvu.FilterData" localSheetId="0" hidden="1">' внеочер. февраль'!$A$9:$N$1649</definedName>
    <definedName name="Z_02E19644_8647_44E6_8DBB_30BB8400EEF3_.wvu.FilterData" localSheetId="0" hidden="1">' внеочер. февраль'!$A$10:$O$1649</definedName>
    <definedName name="Z_02F84E1D_F362_4903_BA87_32675A5F3D9B_.wvu.FilterData" localSheetId="0" hidden="1">' внеочер. февраль'!$A$10:$N$1648</definedName>
    <definedName name="Z_0370F6C7_062E_49CD_B3CB_45D763669B04_.wvu.FilterData" localSheetId="0" hidden="1">' внеочер. февраль'!$A$10:$O$1649</definedName>
    <definedName name="Z_04CBBEEB_F693_4F48_BB41_C56B7E045D01_.wvu.FilterData" localSheetId="0" hidden="1">' внеочер. февраль'!$A$9:$N$1649</definedName>
    <definedName name="Z_04D27216_2FA0_4FF0_A284_65BCF451E8FA_.wvu.FilterData" localSheetId="0" hidden="1">' внеочер. февраль'!$A$10:$N$1648</definedName>
    <definedName name="Z_04D5FF4C_8232_42EB_867A_F256D98055D7_.wvu.FilterData" localSheetId="0" hidden="1">' внеочер. февраль'!$A$9:$N$1648</definedName>
    <definedName name="Z_05345130_7FA9_4E1D_B74C_31033C0130F8_.wvu.FilterData" localSheetId="0" hidden="1">' внеочер. февраль'!$A$10:$O$1649</definedName>
    <definedName name="Z_05AFC059_4B84_4C81_8B09_2F1853F9A263_.wvu.FilterData" localSheetId="0" hidden="1">' внеочер. февраль'!$A$10:$O$1649</definedName>
    <definedName name="Z_062E1196_2D48_4874_B78B_45336B473537_.wvu.FilterData" localSheetId="0" hidden="1">' внеочер. февраль'!$A$10:$P$1648</definedName>
    <definedName name="Z_063AD19D_AD58_4FCE_A57E_04C95E00AED6_.wvu.FilterData" localSheetId="0" hidden="1">' внеочер. февраль'!$A$9:$F$1649</definedName>
    <definedName name="Z_0762B479_1B47_44D7_9F90_76B1EAF659EE_.wvu.FilterData" localSheetId="0" hidden="1">' внеочер. февраль'!$A$9:$F$1648</definedName>
    <definedName name="Z_094502E7_CAD8_4E7C_A8D6_7769ABD5E333_.wvu.FilterData" localSheetId="0" hidden="1">' внеочер. февраль'!$A$9:$F$1648</definedName>
    <definedName name="Z_0A192E1B_BDB1_4B70_A7C0_AB48DC3F0562_.wvu.FilterData" localSheetId="0" hidden="1">' внеочер. февраль'!$A$9:$N$1649</definedName>
    <definedName name="Z_0ACA9E7D_6069_4134_B8D5_2C605F10FB6B_.wvu.FilterData" localSheetId="0" hidden="1">' внеочер. февраль'!$A$10:$N$1648</definedName>
    <definedName name="Z_0B767CC1_B403_44B0_AA71_ED2B2A6285F9_.wvu.FilterData" localSheetId="0" hidden="1">' внеочер. февраль'!$A$10:$N$1648</definedName>
    <definedName name="Z_0C86BDD1_6557_4288_9F2A_439B5FB3160C_.wvu.FilterData" localSheetId="0" hidden="1">' внеочер. февраль'!$A$10:$P$1648</definedName>
    <definedName name="Z_0D606524_40DF_42AE_8082_4CAB22E1E9CF_.wvu.FilterData" localSheetId="0" hidden="1">' внеочер. февраль'!$A$10:$P$1648</definedName>
    <definedName name="Z_0DA4C56F_20C5_4625_867E_C114A7CE67CA_.wvu.FilterData" localSheetId="0" hidden="1">' внеочер. февраль'!$A$10:$O$1649</definedName>
    <definedName name="Z_0DC0876A_D363_445D_8940_67F6A8466847_.wvu.FilterData" localSheetId="0" hidden="1">' внеочер. февраль'!$A$9:$N$1649</definedName>
    <definedName name="Z_0DC0876A_D363_445D_8940_67F6A8466847_.wvu.PrintArea" localSheetId="0" hidden="1">' внеочер. февраль'!$A$7:$F$1648</definedName>
    <definedName name="Z_0DC0876A_D363_445D_8940_67F6A8466847_.wvu.PrintTitles" localSheetId="0" hidden="1">' внеочер. февраль'!$9:$10</definedName>
    <definedName name="Z_0E77326E_61B2_4CD1_B2A4_FB08807779EB_.wvu.FilterData" localSheetId="0" hidden="1">' внеочер. февраль'!$A$9:$N$1648</definedName>
    <definedName name="Z_0F7BAF89_E5CC_4BED_9D75_0EBDA650F18A_.wvu.FilterData" localSheetId="0" hidden="1">' внеочер. февраль'!$A$9:$N$1649</definedName>
    <definedName name="Z_102251C9_6B86_44A9_9772_C7FAAC957182_.wvu.FilterData" localSheetId="0" hidden="1">' внеочер. февраль'!$A$10:$O$1649</definedName>
    <definedName name="Z_1095ADC8_AD8D_40C0_9E70_96D6BE2E7E78_.wvu.FilterData" localSheetId="0" hidden="1">' внеочер. февраль'!$A$9:$F$1648</definedName>
    <definedName name="Z_11995B32_7B2C_47A2_B68F_CC90E1E122BC_.wvu.FilterData" localSheetId="0" hidden="1">' внеочер. февраль'!$A$9:$F$1649</definedName>
    <definedName name="Z_11E16761_BEF9_439A_9F0A_F2673EE84029_.wvu.FilterData" localSheetId="0" hidden="1">' внеочер. февраль'!$A$9:$F$1649</definedName>
    <definedName name="Z_11E16761_BEF9_439A_9F0A_F2673EE84029_.wvu.PrintArea" localSheetId="0" hidden="1">' внеочер. февраль'!$A$7:$F$1648</definedName>
    <definedName name="Z_11E16761_BEF9_439A_9F0A_F2673EE84029_.wvu.PrintTitles" localSheetId="0" hidden="1">' внеочер. февраль'!$9:$10</definedName>
    <definedName name="Z_12041F1A_8CF7_4FB9_99D4_FE5CEAC6CD29_.wvu.FilterData" localSheetId="0" hidden="1">' внеочер. февраль'!$A$9:$F$1648</definedName>
    <definedName name="Z_123C2E32_13BF_4741_BB02_012FD25F7437_.wvu.FilterData" localSheetId="0" hidden="1">' внеочер. февраль'!$A$9:$F$1648</definedName>
    <definedName name="Z_1392BCFA_2BB1_46B9_875C_3BE1B2749E65_.wvu.FilterData" localSheetId="0" hidden="1">' внеочер. февраль'!$A$10:$P$1648</definedName>
    <definedName name="Z_14798894_AF6B_4B19_AEBE_3B8546845DD2_.wvu.FilterData" localSheetId="0" hidden="1">' внеочер. февраль'!$A$10:$N$1648</definedName>
    <definedName name="Z_14DC13B8_B188_4061_8B6B_66CA0226A6EC_.wvu.FilterData" localSheetId="0" hidden="1">' внеочер. февраль'!$A$10:$P$1648</definedName>
    <definedName name="Z_14DFAA34_540D_4A93_96F4_1191A5EE7594_.wvu.FilterData" localSheetId="0" hidden="1">' внеочер. февраль'!$A$10:$O$1649</definedName>
    <definedName name="Z_14F7CD81_70A3_47BC_8F10_4FEDC430EB0E_.wvu.FilterData" localSheetId="0" hidden="1">' внеочер. февраль'!$A$9:$N$1648</definedName>
    <definedName name="Z_16276FE5_2D3C_4C66_B19F_C7EDAEAA2967_.wvu.FilterData" localSheetId="0" hidden="1">' внеочер. февраль'!$A$9:$F$1648</definedName>
    <definedName name="Z_1663216F_E4C5_4B4E_838D_07E5C6B7FB5D_.wvu.FilterData" localSheetId="0" hidden="1">' внеочер. февраль'!$A$10:$O$1649</definedName>
    <definedName name="Z_1663216F_E4C5_4B4E_838D_07E5C6B7FB5D_.wvu.PrintArea" localSheetId="0" hidden="1">' внеочер. февраль'!$A$6:$F$1648</definedName>
    <definedName name="Z_1663216F_E4C5_4B4E_838D_07E5C6B7FB5D_.wvu.PrintTitles" localSheetId="0" hidden="1">' внеочер. февраль'!$9:$10</definedName>
    <definedName name="Z_16B353C7_B446_44BC_9BF7_EEDDCF1CDC73_.wvu.FilterData" localSheetId="0" hidden="1">' внеочер. февраль'!$A$9:$F$1649</definedName>
    <definedName name="Z_16D7CDCD_7806_4026_AF2A_99D3D21D6B95_.wvu.FilterData" localSheetId="0" hidden="1">' внеочер. февраль'!$A$10:$F$1649</definedName>
    <definedName name="Z_1783B947_02E9_477C_8160_71E890344555_.wvu.FilterData" localSheetId="0" hidden="1">' внеочер. февраль'!$A$9:$N$1649</definedName>
    <definedName name="Z_17A06749_D572_40C9_997C_F7C11A60A80E_.wvu.FilterData" localSheetId="0" hidden="1">' внеочер. февраль'!$A$9:$F$1648</definedName>
    <definedName name="Z_18AFE686_6EE6_439B_BBE5_80E1D5900B50_.wvu.FilterData" localSheetId="0" hidden="1">' внеочер. февраль'!$A$9:$F$1648</definedName>
    <definedName name="Z_1A48C8FA_EF60_46E1_AAFB_7EF940C3ADD3_.wvu.FilterData" localSheetId="0" hidden="1">' внеочер. февраль'!$A$9:$N$1649</definedName>
    <definedName name="Z_1A5F4C11_5624_4622_80A8_7588C5FCEE37_.wvu.FilterData" localSheetId="0" hidden="1">' внеочер. февраль'!$A$10:$F$1649</definedName>
    <definedName name="Z_1A65D9DF_63FA_43B9_879C_DBD3E8CC15F3_.wvu.FilterData" localSheetId="0" hidden="1">' внеочер. февраль'!$A$9:$N$1648</definedName>
    <definedName name="Z_1AE1C4AB_1C75_428C_A802_853C6C51CC57_.wvu.FilterData" localSheetId="0" hidden="1">' внеочер. февраль'!$A$10:$N$1648</definedName>
    <definedName name="Z_1BA5F268_4C93_4B74_A334_A2DCDF0B5B92_.wvu.FilterData" localSheetId="0" hidden="1">' внеочер. февраль'!$A$9:$F$1648</definedName>
    <definedName name="Z_1C191BBA_FD4F_4AB6_AC0E_B524CDEC9EAE_.wvu.FilterData" localSheetId="0" hidden="1">' внеочер. февраль'!$A$10:$P$1648</definedName>
    <definedName name="Z_1C191BBA_FD4F_4AB6_AC0E_B524CDEC9EAE_.wvu.PrintArea" localSheetId="0" hidden="1">' внеочер. февраль'!$A$7:$F$1649</definedName>
    <definedName name="Z_1C234F91_6093_4E2B_B06E_B96619420532_.wvu.FilterData" localSheetId="0" hidden="1">' внеочер. февраль'!$A$10:$O$1649</definedName>
    <definedName name="Z_1C4728A2_16D3_4895_8E74_928B442126F0_.wvu.FilterData" localSheetId="0" hidden="1">' внеочер. февраль'!$A$10:$N$1648</definedName>
    <definedName name="Z_1C50D9CD_374A_4095_ABE1_CB79B50B2F69_.wvu.FilterData" localSheetId="0" hidden="1">' внеочер. февраль'!$A$9:$N$1649</definedName>
    <definedName name="Z_1C5F5C37_0CE3_48D5_9832_6F5D4C1A8AFE_.wvu.FilterData" localSheetId="0" hidden="1">' внеочер. февраль'!$A$10:$N$1648</definedName>
    <definedName name="Z_1CD6FB10_1FF7_4A89_AEE7_1C06F4C1BCF3_.wvu.FilterData" localSheetId="0" hidden="1">' внеочер. февраль'!$A$9:$F$1649</definedName>
    <definedName name="Z_1CE5A45D_2312_4713_A5DC_016ED1C7E17E_.wvu.FilterData" localSheetId="0" hidden="1">' внеочер. февраль'!$A$10:$F$1649</definedName>
    <definedName name="Z_1CE5A45D_2312_4713_A5DC_016ED1C7E17E_.wvu.PrintArea" localSheetId="0" hidden="1">' внеочер. февраль'!$A$6:$F$1648</definedName>
    <definedName name="Z_1CE5A45D_2312_4713_A5DC_016ED1C7E17E_.wvu.PrintTitles" localSheetId="0" hidden="1">' внеочер. февраль'!$9:$10</definedName>
    <definedName name="Z_1CFED7E5_68EA_4FF8_B7F3_FE823BC6DF51_.wvu.FilterData" localSheetId="0" hidden="1">' внеочер. февраль'!$A$10:$P$1648</definedName>
    <definedName name="Z_1E6945F4_A5C2_42E5_BC3C_CB0E2B440A4B_.wvu.FilterData" localSheetId="0" hidden="1">' внеочер. февраль'!$A$10:$O$1649</definedName>
    <definedName name="Z_2086DEA2_3C15_4AF3_89C2_309B1905E235_.wvu.FilterData" localSheetId="0" hidden="1">' внеочер. февраль'!$A$9:$F$1649</definedName>
    <definedName name="Z_2103F75D_B237_4C09_A5FE_11C43A6541D9_.wvu.FilterData" localSheetId="0" hidden="1">' внеочер. февраль'!$A$9:$F$1649</definedName>
    <definedName name="Z_219F7EAD_D730_4D71_9324_77D1678FEC49_.wvu.FilterData" localSheetId="0" hidden="1">' внеочер. февраль'!$A$10:$O$1649</definedName>
    <definedName name="Z_219F7EAD_D730_4D71_9324_77D1678FEC49_.wvu.PrintArea" localSheetId="0" hidden="1">' внеочер. февраль'!$A$6:$F$1648</definedName>
    <definedName name="Z_219F7EAD_D730_4D71_9324_77D1678FEC49_.wvu.PrintTitles" localSheetId="0" hidden="1">' внеочер. февраль'!$9:$10</definedName>
    <definedName name="Z_21ACB761_2FFF_477C_BD62_88D94C11D3D7_.wvu.FilterData" localSheetId="0" hidden="1">' внеочер. февраль'!$A$9:$F$1648</definedName>
    <definedName name="Z_21F59380_AF6B_4101_8FC5_5F480FF4D0DD_.wvu.FilterData" localSheetId="0" hidden="1">' внеочер. февраль'!#REF!</definedName>
    <definedName name="Z_22032487_48C5_4254_BFE3_B1CC104B8901_.wvu.FilterData" localSheetId="0" hidden="1">' внеочер. февраль'!$A$9:$N$1649</definedName>
    <definedName name="Z_2217D909_983B_4241_A1AF_F72B13A5CB0C_.wvu.FilterData" localSheetId="0" hidden="1">' внеочер. февраль'!$A$9:$F$1648</definedName>
    <definedName name="Z_22D97025_3576_4DDC_9AE5_D21566429834_.wvu.FilterData" localSheetId="0" hidden="1">' внеочер. февраль'!$A$10:$P$1648</definedName>
    <definedName name="Z_23190D58_ED44_4680_8F8F_13684B3D6CBA_.wvu.FilterData" localSheetId="0" hidden="1">' внеочер. февраль'!$A$9:$O$1649</definedName>
    <definedName name="Z_23190D58_ED44_4680_8F8F_13684B3D6CBA_.wvu.PrintArea" localSheetId="0" hidden="1">' внеочер. февраль'!$A$7:$F$1648</definedName>
    <definedName name="Z_23190D58_ED44_4680_8F8F_13684B3D6CBA_.wvu.PrintTitles" localSheetId="0" hidden="1">' внеочер. февраль'!$9:$10</definedName>
    <definedName name="Z_23CC82B2_929B_484E_96B6_C8D7CB948376_.wvu.FilterData" localSheetId="0" hidden="1">' внеочер. февраль'!$A$9:$N$1649</definedName>
    <definedName name="Z_24BADAE8_CF8D_4769_AE71_319C59B3BC9F_.wvu.FilterData" localSheetId="0" hidden="1">' внеочер. февраль'!$A$10:$N$1648</definedName>
    <definedName name="Z_24F8D207_8926_4505_853D_9B4F4AD602E6_.wvu.FilterData" localSheetId="0" hidden="1">' внеочер. февраль'!$A$9:$N$1649</definedName>
    <definedName name="Z_257100FD_B9DD_4B44_8F95_57F1474F295C_.wvu.FilterData" localSheetId="0" hidden="1">' внеочер. февраль'!$A$10:$N$1649</definedName>
    <definedName name="Z_259E88AD_CD5F_48FE_A916_087666328B32_.wvu.FilterData" localSheetId="0" hidden="1">' внеочер. февраль'!$A$10:$N$1648</definedName>
    <definedName name="Z_25F7A3AC_DB75_4B67_B305_13FB0EFD0E9D_.wvu.FilterData" localSheetId="0" hidden="1">' внеочер. февраль'!$A$10:$P$1649</definedName>
    <definedName name="Z_26836EEA_44F6_48F7_915D_BC5054D9B460_.wvu.FilterData" localSheetId="0" hidden="1">' внеочер. февраль'!$A$9:$F$1648</definedName>
    <definedName name="Z_271E4CFE_8E11_4947_BCC3_BEEB96922BD1_.wvu.FilterData" localSheetId="0" hidden="1">' внеочер. февраль'!$A$10:$N$1648</definedName>
    <definedName name="Z_272B0347_938E_47EF_BDA4_BAF3EE093BDA_.wvu.FilterData" localSheetId="0" hidden="1">' внеочер. февраль'!$A$9:$F$1648</definedName>
    <definedName name="Z_279C032F_1BBA_4C1B_ACF4_F30559E594D7_.wvu.FilterData" localSheetId="0" hidden="1">' внеочер. февраль'!$A$10:$O$1649</definedName>
    <definedName name="Z_27FD1C63_BF02_4DD3_BD93_7000AB160654_.wvu.FilterData" localSheetId="0" hidden="1">' внеочер. февраль'!$A$10:$O$1649</definedName>
    <definedName name="Z_28A15B13_755B_46CC_8CEC_1969A9B2EFFB_.wvu.FilterData" localSheetId="0" hidden="1">' внеочер. февраль'!$A$10:$N$1648</definedName>
    <definedName name="Z_28A15B13_755B_46CC_8CEC_1969A9B2EFFB_.wvu.PrintArea" localSheetId="0" hidden="1">' внеочер. февраль'!$A$7:$F$1649</definedName>
    <definedName name="Z_2946CC8A_FD30_4D94_B7D9_085CEC732FB8_.wvu.FilterData" localSheetId="0" hidden="1">' внеочер. февраль'!$A$9:$P$1648</definedName>
    <definedName name="Z_2A14F3CB_50F4_4846_BC60_2EC7457007F1_.wvu.FilterData" localSheetId="0" hidden="1">' внеочер. февраль'!$A$9:$F$1648</definedName>
    <definedName name="Z_2B2B77BF_6424_4BBF_87DD_6E019A656781_.wvu.FilterData" localSheetId="0" hidden="1">' внеочер. февраль'!$A$10:$O$1648</definedName>
    <definedName name="Z_2B2C1BB6_A7D0_40D2_9C7B_A88D96C74B40_.wvu.FilterData" localSheetId="0" hidden="1">' внеочер. февраль'!$A$9:$F$1648</definedName>
    <definedName name="Z_2C9A1572_4275_4BEA_858C_B0F866C00D24_.wvu.FilterData" localSheetId="0" hidden="1">' внеочер. февраль'!$A$10:$O$1649</definedName>
    <definedName name="Z_2DBF5190_3BC0_4CFB_8CF4_CF5F7A34C083_.wvu.FilterData" localSheetId="0" hidden="1">' внеочер. февраль'!#REF!</definedName>
    <definedName name="Z_2DE214BB_B51D_4314_B215_7ACD9B2B8807_.wvu.FilterData" localSheetId="0" hidden="1">' внеочер. февраль'!$A$10:$P$1649</definedName>
    <definedName name="Z_2EC6C7C2_075F_469E_BA56_C92A242B7429_.wvu.FilterData" localSheetId="0" hidden="1">' внеочер. февраль'!$A$9:$F$1649</definedName>
    <definedName name="Z_2ED2EBED_6A86_41D0_8867_4D61744F24CF_.wvu.FilterData" localSheetId="0" hidden="1">' внеочер. февраль'!$A$9:$F$1648</definedName>
    <definedName name="Z_2F416DF5_663E_4C42_A025_78AC86E15DCE_.wvu.FilterData" localSheetId="0" hidden="1">' внеочер. февраль'!$A$9:$F$1649</definedName>
    <definedName name="Z_3056384E_445B_49F8_B121_D7260FACDF20_.wvu.FilterData" localSheetId="0" hidden="1">' внеочер. февраль'!$A$9:$N$1649</definedName>
    <definedName name="Z_3056FEC0_8502_4D68_B14E_21C9A7A27F5A_.wvu.FilterData" localSheetId="0" hidden="1">' внеочер. февраль'!$A$9:$F$1648</definedName>
    <definedName name="Z_3285BC74_89C3_4F68_A2BD_6B12F599D5F3_.wvu.FilterData" localSheetId="0" hidden="1">' внеочер. февраль'!$A$9:$F$1648</definedName>
    <definedName name="Z_32DCA8B6_4F90_402D_BE9D_482F735EFBB2_.wvu.FilterData" localSheetId="0" hidden="1">' внеочер. февраль'!$A$9:$F$1649</definedName>
    <definedName name="Z_330DC63C_3323_4E82_A81E_3056022167C2_.wvu.FilterData" localSheetId="0" hidden="1">' внеочер. февраль'!$A$10:$P$1648</definedName>
    <definedName name="Z_330DC63C_3323_4E82_A81E_3056022167C2_.wvu.PrintArea" localSheetId="0" hidden="1">' внеочер. февраль'!$A$7:$F$1649</definedName>
    <definedName name="Z_33FCF604_F7F7_4433_871A_43736DCB6CA5_.wvu.FilterData" localSheetId="0" hidden="1">' внеочер. февраль'!$A$10:$N$1649</definedName>
    <definedName name="Z_34B9C6B2_2E80_403F_A512_02B5737EDC6F_.wvu.FilterData" localSheetId="0" hidden="1">' внеочер. февраль'!$A$10:$P$1648</definedName>
    <definedName name="Z_3577A214_E78B_4601_A69B_00FAEA40F129_.wvu.FilterData" localSheetId="0" hidden="1">' внеочер. февраль'!$A$10:$N$1649</definedName>
    <definedName name="Z_35CE1D1E_2897_4AE2_8B3D_9254040556C1_.wvu.FilterData" localSheetId="0" hidden="1">' внеочер. февраль'!$A$9:$F$1648</definedName>
    <definedName name="Z_36121433_AFA1_439B_B87B_A564E16D6BC3_.wvu.FilterData" localSheetId="0" hidden="1">' внеочер. февраль'!$A$10:$P$1649</definedName>
    <definedName name="Z_36DCE0BA_3DAA_4D16_9A6C_D74D85939BC4_.wvu.FilterData" localSheetId="0" hidden="1">' внеочер. февраль'!$A$10:$O$1649</definedName>
    <definedName name="Z_36DCE0BA_3DAA_4D16_9A6C_D74D85939BC4_.wvu.PrintArea" localSheetId="0" hidden="1">' внеочер. февраль'!$A$1:$F$1648</definedName>
    <definedName name="Z_36DCE0BA_3DAA_4D16_9A6C_D74D85939BC4_.wvu.PrintTitles" localSheetId="0" hidden="1">' внеочер. февраль'!$9:$10</definedName>
    <definedName name="Z_3781D2A0_05A6_429B_BC20_F79E1CE01FC7_.wvu.FilterData" localSheetId="0" hidden="1">' внеочер. февраль'!$A$9:$F$1649</definedName>
    <definedName name="Z_3793CDC2_0E65_411F_9098_354272AD0581_.wvu.FilterData" localSheetId="0" hidden="1">' внеочер. февраль'!$A$10:$N$1648</definedName>
    <definedName name="Z_37A3EB42_C6A9_4BA5_BEEC_C9C5583910C7_.wvu.FilterData" localSheetId="0" hidden="1">' внеочер. февраль'!$A$9:$N$1649</definedName>
    <definedName name="Z_37A87BBF_8F53_4E0C_B7D1_984A8F157C7B_.wvu.FilterData" localSheetId="0" hidden="1">' внеочер. февраль'!$A$10:$F$1649</definedName>
    <definedName name="Z_37F1E5CC_0DEF_43C1_98FC_D703C5CD631F_.wvu.FilterData" localSheetId="0" hidden="1">' внеочер. февраль'!$A$9:$F$1648</definedName>
    <definedName name="Z_385D5719_9C04_46DF_A242_5D11233875FF_.wvu.FilterData" localSheetId="0" hidden="1">' внеочер. февраль'!$A$10:$N$1648</definedName>
    <definedName name="Z_385D5719_9C04_46DF_A242_5D11233875FF_.wvu.PrintArea" localSheetId="0" hidden="1">' внеочер. февраль'!$A$7:$F$1649</definedName>
    <definedName name="Z_38BCA588_4D62_4CD6_BBBA_05566AEC9B0A_.wvu.FilterData" localSheetId="0" hidden="1">' внеочер. февраль'!$A$10:$O$1649</definedName>
    <definedName name="Z_38D47B67_46B3_4586_95FD_C8DFAD14E171_.wvu.FilterData" localSheetId="0" hidden="1">' внеочер. февраль'!$A$9:$F$1649</definedName>
    <definedName name="Z_38DD5E72_034E_4AE6_9FC8_2A9CE8F070E2_.wvu.FilterData" localSheetId="0" hidden="1">' внеочер. февраль'!$A$9:$N$1649</definedName>
    <definedName name="Z_39040B51_3A58_459A_9DDC_C671A5D0756F_.wvu.FilterData" localSheetId="0" hidden="1">' внеочер. февраль'!$A$9:$F$1648</definedName>
    <definedName name="Z_398A4738_1617_4EDB_BE45_1C15E8364DDD_.wvu.FilterData" localSheetId="0" hidden="1">' внеочер. февраль'!$A$9:$F$1648</definedName>
    <definedName name="Z_3A45CD8C_D7D7_4AA1_AF31_14AE1D1FC86D_.wvu.FilterData" localSheetId="0" hidden="1">' внеочер. февраль'!$A$10:$F$1649</definedName>
    <definedName name="Z_3A565E32_3F33_4C1A_85CC_BDC76B4BBB83_.wvu.FilterData" localSheetId="0" hidden="1">' внеочер. февраль'!$A$10:$N$1648</definedName>
    <definedName name="Z_3A768A1B_3829_4E5D_89D6_39FDCD442F1C_.wvu.FilterData" localSheetId="0" hidden="1">' внеочер. февраль'!$A$10:$N$1648</definedName>
    <definedName name="Z_3AE5504E_9345_43E6_8C07_BCF2C8CE9F1A_.wvu.FilterData" localSheetId="0" hidden="1">' внеочер. февраль'!$A$10:$N$1648</definedName>
    <definedName name="Z_3B194C95_7E16_4B3F_B32B_CF83DE3B7304_.wvu.FilterData" localSheetId="0" hidden="1">' внеочер. февраль'!$A$9:$F$1648</definedName>
    <definedName name="Z_3B2DB6E5_18C1_48D0_9EC2_2533EAB2A428_.wvu.FilterData" localSheetId="0" hidden="1">' внеочер. февраль'!$A$10:$N$1648</definedName>
    <definedName name="Z_3B93D014_22A0_40DF_A039_CF931071FA7A_.wvu.FilterData" localSheetId="0" hidden="1">' внеочер. февраль'!$A$9:$N$1649</definedName>
    <definedName name="Z_3BA7296D_DE8F_4EC2_A0AC_9982A260E07F_.wvu.FilterData" localSheetId="0" hidden="1">' внеочер. февраль'!$A$9:$N$1649</definedName>
    <definedName name="Z_3CA6CC11_825B_4370_9523_C0A767898701_.wvu.FilterData" localSheetId="0" hidden="1">' внеочер. февраль'!$A$9:$F$1648</definedName>
    <definedName name="Z_3D18A474_C420_4F21_BFCD_739D1ED64687_.wvu.FilterData" localSheetId="0" hidden="1">' внеочер. февраль'!$A$10:$F$1649</definedName>
    <definedName name="Z_3D3174AB_AE95_4A34_9A6D_52D1E7A99084_.wvu.FilterData" localSheetId="0" hidden="1">' внеочер. февраль'!$A$10:$O$1649</definedName>
    <definedName name="Z_3DA1124E_E364_40A6_8175_AF073D84D478_.wvu.FilterData" localSheetId="0" hidden="1">' внеочер. февраль'!$A$10:$P$1648</definedName>
    <definedName name="Z_3DCA0E27_D30B_4C5B_B80E_AC9AD91C1046_.wvu.FilterData" localSheetId="0" hidden="1">' внеочер. февраль'!$A$9:$F$1648</definedName>
    <definedName name="Z_3E1D1595_4140_43ED_81FA_15116CB2FB9E_.wvu.FilterData" localSheetId="0" hidden="1">' внеочер. февраль'!$A$9:$F$1648</definedName>
    <definedName name="Z_3E7189D0_6805_4CFA_A102_92E097CF83A6_.wvu.FilterData" localSheetId="0" hidden="1">' внеочер. февраль'!$A$9:$N$1649</definedName>
    <definedName name="Z_3F522A76_DAE2_4202_A17F_1F1AABEDE22A_.wvu.FilterData" localSheetId="0" hidden="1">' внеочер. февраль'!$A$9:$N$1649</definedName>
    <definedName name="Z_3F7979AF_D686_4AE1_BD39_A37A9521D221_.wvu.FilterData" localSheetId="0" hidden="1">' внеочер. февраль'!$A$10:$P$1649</definedName>
    <definedName name="Z_40C3CA13_084E_43EB_88A6_797F57825FEE_.wvu.FilterData" localSheetId="0" hidden="1">' внеочер. февраль'!$A$9:$N$1649</definedName>
    <definedName name="Z_414880D0_88EA_4F40_BD66_D8D7021A49AA_.wvu.FilterData" localSheetId="0" hidden="1">' внеочер. февраль'!$A$10:$N$1648</definedName>
    <definedName name="Z_416E2C7B_6BE9_4DC3_A85B_1451789FB0BE_.wvu.FilterData" localSheetId="0" hidden="1">' внеочер. февраль'!$A$9:$N$1649</definedName>
    <definedName name="Z_41B8CDCA_A3FB_4478_8779_D450E649EE80_.wvu.FilterData" localSheetId="0" hidden="1">' внеочер. февраль'!$A$10:$N$1648</definedName>
    <definedName name="Z_42A152B9_3E5A_479E_89AF_0D8416AE07C8_.wvu.FilterData" localSheetId="0" hidden="1">' внеочер. февраль'!$A$10:$O$1649</definedName>
    <definedName name="Z_42B36760_4779_4702_95E0_EE6933DC403F_.wvu.FilterData" localSheetId="0" hidden="1">' внеочер. февраль'!$A$9:$N$1648</definedName>
    <definedName name="Z_42B97035_F1E0_4B37_9D0A_ADC17272E5AF_.wvu.FilterData" localSheetId="0" hidden="1">' внеочер. февраль'!$A$10:$O$1649</definedName>
    <definedName name="Z_434EF3B0_6D9E_40D1_990B_9D8FA532ADC6_.wvu.FilterData" localSheetId="0" hidden="1">' внеочер. февраль'!$A$9:$P$1648</definedName>
    <definedName name="Z_43E2E054_5516_466B_93DD_89276FC394E0_.wvu.FilterData" localSheetId="0" hidden="1">' внеочер. февраль'!$A$9:$N$1649</definedName>
    <definedName name="Z_455EBA7A_516F_41CE_9BC3_D4D4DB2CF465_.wvu.FilterData" localSheetId="0" hidden="1">' внеочер. февраль'!$A$9:$F$1648</definedName>
    <definedName name="Z_45996DC4_F037_458C_9D8B_2208B6D79F59_.wvu.FilterData" localSheetId="0" hidden="1">' внеочер. февраль'!$A$10:$F$1649</definedName>
    <definedName name="Z_45B8737F_599A_4B0C_A428_06F225AE8CDA_.wvu.FilterData" localSheetId="0" hidden="1">' внеочер. февраль'!$A$9:$N$1649</definedName>
    <definedName name="Z_45D5E9F6_D555_47FB_A1DA_C327CB67F5E0_.wvu.FilterData" localSheetId="0" hidden="1">' внеочер. февраль'!$A$9:$N$1649</definedName>
    <definedName name="Z_4757EA39_9697_4CA3_B077_7BFE4C29062B_.wvu.FilterData" localSheetId="0" hidden="1">' внеочер. февраль'!$A$10:$N$1648</definedName>
    <definedName name="Z_47F22E96_1E8B_42D5_A947_C38687B243FB_.wvu.FilterData" localSheetId="0" hidden="1">' внеочер. февраль'!$A$10:$O$1649</definedName>
    <definedName name="Z_486D2454_6F13_4C1B_B93F_67149149E7D6_.wvu.FilterData" localSheetId="0" hidden="1">' внеочер. февраль'!$A$9:$P$1648</definedName>
    <definedName name="Z_487B47E9_A751_4FCA_8109_9901A6D8283F_.wvu.FilterData" localSheetId="0" hidden="1">' внеочер. февраль'!$A$9:$N$1648</definedName>
    <definedName name="Z_48DA23F9_E714_4131_A280_BC3B78BCAA1C_.wvu.FilterData" localSheetId="0" hidden="1">' внеочер. февраль'!$A$9:$N$1648</definedName>
    <definedName name="Z_48FC805F_0C3A_45D2_B113_A92842CA694E_.wvu.FilterData" localSheetId="0" hidden="1">' внеочер. февраль'!$A$9:$N$1649</definedName>
    <definedName name="Z_48FD5FD4_29C6_4F55_AD09_8F4F7155AB4D_.wvu.FilterData" localSheetId="0" hidden="1">' внеочер. февраль'!$A$9:$F$1648</definedName>
    <definedName name="Z_497E5DCB_6FB5_4C81_8A22_FB059EDC86E5_.wvu.FilterData" localSheetId="0" hidden="1">' внеочер. февраль'!$A$10:$O$1649</definedName>
    <definedName name="Z_4990CA99_E0D9_46BF_880F_DA9E5D2B89B3_.wvu.FilterData" localSheetId="0" hidden="1">' внеочер. февраль'!$A$9:$F$1648</definedName>
    <definedName name="Z_4A20F9E5_CCD4_42D1_9E2C_3C4174E9B78B_.wvu.FilterData" localSheetId="0" hidden="1">' внеочер. февраль'!$A$10:$N$1648</definedName>
    <definedName name="Z_4A8FB775_A316_4F1B_B749_D045B729431E_.wvu.FilterData" localSheetId="0" hidden="1">' внеочер. февраль'!$A$9:$F$1648</definedName>
    <definedName name="Z_4AECE206_4C98_4A82_8150_DA872C865B83_.wvu.FilterData" localSheetId="0" hidden="1">' внеочер. февраль'!$A$10:$O$1649</definedName>
    <definedName name="Z_4B1FAC6A_1F84_46B8_AA12_2C0915CD7E80_.wvu.FilterData" localSheetId="0" hidden="1">' внеочер. февраль'!$A$10:$O$1648</definedName>
    <definedName name="Z_4BFAFBC9_4DB6_4BF2_8C41_B9B7CAFEDBAB_.wvu.FilterData" localSheetId="0" hidden="1">' внеочер. февраль'!$A$9:$N$1649</definedName>
    <definedName name="Z_4C2848E1_AD08_4165_86B3_33479BABCE2F_.wvu.FilterData" localSheetId="0" hidden="1">' внеочер. февраль'!$A$10:$O$1649</definedName>
    <definedName name="Z_4C5724AD_CCDF_454B_A924_68418B0E0C2E_.wvu.FilterData" localSheetId="0" hidden="1">' внеочер. февраль'!$A$9:$P$1648</definedName>
    <definedName name="Z_4CA92C53_3E15_44E3_B78C_555BFD958B84_.wvu.FilterData" localSheetId="0" hidden="1">' внеочер. февраль'!$A$10:$N$1649</definedName>
    <definedName name="Z_4CB91982_3F7C_448A_97B1_3335ACE1DAED_.wvu.FilterData" localSheetId="0" hidden="1">' внеочер. февраль'!$A$9:$N$1649</definedName>
    <definedName name="Z_4CF8F3A1_A5A3_4B27_BC26_9B41148217F3_.wvu.FilterData" localSheetId="0" hidden="1">' внеочер. февраль'!$A$10:$O$1649</definedName>
    <definedName name="Z_4D34A8B1_8907_4234_A284_20F1D8451D1D_.wvu.FilterData" localSheetId="0" hidden="1">' внеочер. февраль'!$A$9:$N$1649</definedName>
    <definedName name="Z_4E705C87_9E53_4EF4_B8F8_51689B53CAF0_.wvu.FilterData" localSheetId="0" hidden="1">' внеочер. февраль'!$A$10:$O$1649</definedName>
    <definedName name="Z_4E7DED2C_2F9C_4D80_AFE0_B3B78C7BC06D_.wvu.FilterData" localSheetId="0" hidden="1">' внеочер. февраль'!$A$10:$P$1649</definedName>
    <definedName name="Z_4E87DAAF_930D_4DED_84BC_FB29479739E5_.wvu.FilterData" localSheetId="0" hidden="1">' внеочер. февраль'!$A$10:$O$1649</definedName>
    <definedName name="Z_4F8C6C95_1E82_49F3_9A75_0FF184E636D7_.wvu.FilterData" localSheetId="0" hidden="1">' внеочер. февраль'!$A$9:$F$1648</definedName>
    <definedName name="Z_50169E25_553D_4636_9171_DA16027EE4A1_.wvu.FilterData" localSheetId="0" hidden="1">' внеочер. февраль'!$A$10:$N$1649</definedName>
    <definedName name="Z_50170FAE_3C73_46CB_A1C9_85AFE2FB0FF4_.wvu.FilterData" localSheetId="0" hidden="1">' внеочер. февраль'!$A$9:$F$1648</definedName>
    <definedName name="Z_508A7915_1D02_407B_B0F8_4EFFEDF26CDB_.wvu.FilterData" localSheetId="0" hidden="1">' внеочер. февраль'!$A$10:$P$1649</definedName>
    <definedName name="Z_509F2CD7_7290_455C_AD32_EE221C3FBFE0_.wvu.FilterData" localSheetId="0" hidden="1">' внеочер. февраль'!$A$9:$F$1648</definedName>
    <definedName name="Z_512A9EB9_6D99_4880_8359_5B2C500C08FA_.wvu.FilterData" localSheetId="0" hidden="1">' внеочер. февраль'!$A$10:$N$1649</definedName>
    <definedName name="Z_519E24BA_1A85_4443_B7F2_3FC3EB25201D_.wvu.FilterData" localSheetId="0" hidden="1">' внеочер. февраль'!$A$10:$N$1648</definedName>
    <definedName name="Z_519E24BA_1A85_4443_B7F2_3FC3EB25201D_.wvu.PrintArea" localSheetId="0" hidden="1">' внеочер. февраль'!$A$7:$F$1649</definedName>
    <definedName name="Z_5210C21A_48C7_4073_9409_BED701B78762_.wvu.FilterData" localSheetId="0" hidden="1">' внеочер. февраль'!$A$9:$F$1648</definedName>
    <definedName name="Z_5212AC65_EF2A_4198_8629_1C0CB6937E96_.wvu.FilterData" localSheetId="0" hidden="1">' внеочер. февраль'!$A$10:$N$1648</definedName>
    <definedName name="Z_52AAE081_BB88_4DB9_B728_09CE9E47ADCC_.wvu.FilterData" localSheetId="0" hidden="1">' внеочер. февраль'!$A$9:$F$1649</definedName>
    <definedName name="Z_52C1FB92_7975_4D4D_BD0E_F9FFDD4E1D2C_.wvu.FilterData" localSheetId="0" hidden="1">' внеочер. февраль'!$A$10:$O$1649</definedName>
    <definedName name="Z_52C1FB92_7975_4D4D_BD0E_F9FFDD4E1D2C_.wvu.PrintArea" localSheetId="0" hidden="1">' внеочер. февраль'!$A$7:$F$1648</definedName>
    <definedName name="Z_52C1FB92_7975_4D4D_BD0E_F9FFDD4E1D2C_.wvu.PrintTitles" localSheetId="0" hidden="1">' внеочер. февраль'!$9:$10</definedName>
    <definedName name="Z_52CB26F1_302D_4C38_B87D_278BB2667A76_.wvu.FilterData" localSheetId="0" hidden="1">' внеочер. февраль'!$A$9:$F$1648</definedName>
    <definedName name="Z_533F27F8_316D_464B_99CD_C3B3C0DC75DB_.wvu.FilterData" localSheetId="0" hidden="1">' внеочер. февраль'!$A$10:$P$1649</definedName>
    <definedName name="Z_540D7044_DAC9_4CB6_BBD0_D14ACBCC1867_.wvu.FilterData" localSheetId="0" hidden="1">' внеочер. февраль'!$A$9:$F$1649</definedName>
    <definedName name="Z_5425F1F3_5195_406D_8D2D_5CCD9B6CDE00_.wvu.FilterData" localSheetId="0" hidden="1">' внеочер. февраль'!$A$9:$N$1649</definedName>
    <definedName name="Z_542D4C06_DA3E_4E40_8082_5B2EC0B6E1C9_.wvu.FilterData" localSheetId="0" hidden="1">' внеочер. февраль'!$A$9:$F$1648</definedName>
    <definedName name="Z_54712753_BB9D_4E3F_A58A_98380CF161C6_.wvu.FilterData" localSheetId="0" hidden="1">' внеочер. февраль'!$A$41:$O$1649</definedName>
    <definedName name="Z_54B3809A_9E36_47D4_8BCC_AE459CBE86F3_.wvu.FilterData" localSheetId="0" hidden="1">' внеочер. февраль'!$A$10:$N$1648</definedName>
    <definedName name="Z_555EAD10_DFE2_4AAC_9550_CEA724A4C65A_.wvu.FilterData" localSheetId="0" hidden="1">' внеочер. февраль'!$A$9:$F$1648</definedName>
    <definedName name="Z_55ECEB80_2013_4285_BCA2_8ABC7EA19696_.wvu.FilterData" localSheetId="0" hidden="1">' внеочер. февраль'!$A$10:$N$1648</definedName>
    <definedName name="Z_5600D247_7B97_4D0C_B6F5_3EE11082F04D_.wvu.FilterData" localSheetId="0" hidden="1">' внеочер. февраль'!$A$9:$P$1648</definedName>
    <definedName name="Z_5632C972_4D92_472E_A7D8_15EE39642215_.wvu.FilterData" localSheetId="0" hidden="1">' внеочер. февраль'!$A$9:$N$1649</definedName>
    <definedName name="Z_57A66D29_F753_45AA_AFCE_1D074E23B348_.wvu.FilterData" localSheetId="0" hidden="1">' внеочер. февраль'!$A$9:$F$1648</definedName>
    <definedName name="Z_57FF09B2_4C30_45FF_80BF_F3FA38AE7BA6_.wvu.FilterData" localSheetId="0" hidden="1">' внеочер. февраль'!$A$10:$O$1649</definedName>
    <definedName name="Z_5894AE26_6C35_44F7_8FB8_03AB0830362C_.wvu.FilterData" localSheetId="0" hidden="1">' внеочер. февраль'!$A$10:$P$1648</definedName>
    <definedName name="Z_58BADA98_9CF5_479B_BB17_6818645BE940_.wvu.FilterData" localSheetId="0" hidden="1">' внеочер. февраль'!#REF!</definedName>
    <definedName name="Z_595E2971_3513_4F8A_88ED_57F1A08883D0_.wvu.FilterData" localSheetId="0" hidden="1">' внеочер. февраль'!$A$10:$N$1648</definedName>
    <definedName name="Z_5B4E6236_5AC3_4689_8341_2A8777466E94_.wvu.FilterData" localSheetId="0" hidden="1">' внеочер. февраль'!$A$10:$O$1649</definedName>
    <definedName name="Z_5BDE70F4_B526_4049_80EE_4AF010973BE8_.wvu.FilterData" localSheetId="0" hidden="1">' внеочер. февраль'!$A$10:$P$1648</definedName>
    <definedName name="Z_5C30E88F_2B9B_4E31_869D_A57B009299D9_.wvu.FilterData" localSheetId="0" hidden="1">' внеочер. февраль'!$A$9:$N$1648</definedName>
    <definedName name="Z_5CB46243_D440_438C_ADDF_B65B9169509C_.wvu.FilterData" localSheetId="0" hidden="1">' внеочер. февраль'!$A$10:$N$1649</definedName>
    <definedName name="Z_5CC9B518_EDE1_49CF_A852_705543D9CC35_.wvu.FilterData" localSheetId="0" hidden="1">' внеочер. февраль'!$A$9:$F$1648</definedName>
    <definedName name="Z_5E247967_F637_4D2F_BE85_E2823456295A_.wvu.FilterData" localSheetId="0" hidden="1">' внеочер. февраль'!$A$10:$N$1648</definedName>
    <definedName name="Z_5F4CF124_913D_4674_BB78_B3A580B3541D_.wvu.FilterData" localSheetId="0" hidden="1">' внеочер. февраль'!$A$9:$F$1648</definedName>
    <definedName name="Z_5F741559_716C_4715_824C_FB4414EBC9D9_.wvu.FilterData" localSheetId="0" hidden="1">' внеочер. февраль'!$A$10:$O$1649</definedName>
    <definedName name="Z_5FD5D612_24FC_4549_B797_34EACB332FDF_.wvu.FilterData" localSheetId="0" hidden="1">' внеочер. февраль'!$A$10:$O$1649</definedName>
    <definedName name="Z_6058BCE4_E144_4AB1_AAC1_2D7A23BD9C04_.wvu.FilterData" localSheetId="0" hidden="1">' внеочер. февраль'!$A$10:$N$1648</definedName>
    <definedName name="Z_6074E6FD_CDC7_489E_BAC9_70419AA087A5_.wvu.FilterData" localSheetId="0" hidden="1">' внеочер. февраль'!$A$10:$N$1648</definedName>
    <definedName name="Z_612FADBE_E46F_4CD8_84E1_AF785D397288_.wvu.FilterData" localSheetId="0" hidden="1">' внеочер. февраль'!$A$10:$N$1648</definedName>
    <definedName name="Z_619D504E_9506_410B_8C66_105FA7A1DA4D_.wvu.FilterData" localSheetId="0" hidden="1">' внеочер. февраль'!$A$10:$N$1649</definedName>
    <definedName name="Z_61C9A7BE_AD1F_4436_BB39_E22B9EF4E00B_.wvu.FilterData" localSheetId="0" hidden="1">' внеочер. февраль'!$A$10:$F$1649</definedName>
    <definedName name="Z_622179FC_C8BE_4E51_BC1E_4F5D15BC3A41_.wvu.FilterData" localSheetId="0" hidden="1">' внеочер. февраль'!$A$9:$F$1648</definedName>
    <definedName name="Z_6286118F_667D_44EC_A7D1_DA3190C7F68D_.wvu.FilterData" localSheetId="0" hidden="1">' внеочер. февраль'!$A$10:$N$1648</definedName>
    <definedName name="Z_62C383B8_D349_4E46_BDC9_4E7B5C8B333E_.wvu.FilterData" localSheetId="0" hidden="1">' внеочер. февраль'!$A$9:$N$1649</definedName>
    <definedName name="Z_6416D519_CC2D_4D3A_A950_7A07B76632EF_.wvu.FilterData" localSheetId="0" hidden="1">' внеочер. февраль'!$A$9:$N$1648</definedName>
    <definedName name="Z_64E83C65_3338_4D0C_B12D_406444E676D1_.wvu.FilterData" localSheetId="0" hidden="1">' внеочер. февраль'!$A$9:$N$1649</definedName>
    <definedName name="Z_6509EEAF_0861_475B_AB9F_41C336A56890_.wvu.FilterData" localSheetId="0" hidden="1">' внеочер. февраль'!$A$9:$N$1648</definedName>
    <definedName name="Z_651BE6E4_D19D_4425_A5BC_86F3B971E3DD_.wvu.FilterData" localSheetId="0" hidden="1">' внеочер. февраль'!$A$9:$N$1649</definedName>
    <definedName name="Z_6544686C_B58E_4691_855E_85F54AE54128_.wvu.FilterData" localSheetId="0" hidden="1">' внеочер. февраль'!$A$10:$O$10</definedName>
    <definedName name="Z_658AAC58_7BD6_4611_87DF_7F5BFB6A6288_.wvu.FilterData" localSheetId="0" hidden="1">' внеочер. февраль'!$A$10:$O$1649</definedName>
    <definedName name="Z_659E8B39_3352_4C1B_9809_054E00B23763_.wvu.FilterData" localSheetId="0" hidden="1">' внеочер. февраль'!$A$9:$N$1649</definedName>
    <definedName name="Z_65CDE407_C4EA_463C_B55C_6F5A1AFE32C3_.wvu.FilterData" localSheetId="0" hidden="1">' внеочер. февраль'!$A$10:$N$1648</definedName>
    <definedName name="Z_66D7895B_C0EE_43CC_AFD7_5B2775046D5B_.wvu.FilterData" localSheetId="0" hidden="1">' внеочер. февраль'!$A$9:$F$1648</definedName>
    <definedName name="Z_670B8ECF_AFB2_48CD_B676_59538CD7D760_.wvu.FilterData" localSheetId="0" hidden="1">' внеочер. февраль'!$A$9:$N$1649</definedName>
    <definedName name="Z_68325542_D0F2_43A5_A1C8_543EB6E51A9E_.wvu.FilterData" localSheetId="0" hidden="1">' внеочер. февраль'!$A$10:$F$1649</definedName>
    <definedName name="Z_684C1E88_539C_438F_AE30_DD22BE763C07_.wvu.FilterData" localSheetId="0" hidden="1">' внеочер. февраль'!$A$9:$N$1649</definedName>
    <definedName name="Z_684C2C29_728F_4556_A085_1CDF317A169D_.wvu.FilterData" localSheetId="0" hidden="1">' внеочер. февраль'!$A$10:$N$1648</definedName>
    <definedName name="Z_684C2C29_728F_4556_A085_1CDF317A169D_.wvu.PrintArea" localSheetId="0" hidden="1">' внеочер. февраль'!$A$7:$F$1649</definedName>
    <definedName name="Z_684C2C29_728F_4556_A085_1CDF317A169D_.wvu.PrintTitles" localSheetId="0" hidden="1">' внеочер. февраль'!$9:$10</definedName>
    <definedName name="Z_68A7376A_4601_407B_99C2_622292D30F4D_.wvu.FilterData" localSheetId="0" hidden="1">' внеочер. февраль'!$A$10:$N$1649</definedName>
    <definedName name="Z_68D7371C_AFDC_4141_B430_B0B72A3BC12D_.wvu.FilterData" localSheetId="0" hidden="1">' внеочер. февраль'!$A$10:$O$1649</definedName>
    <definedName name="Z_697DF36B_5199_48BA_9E10_77E54F7CAC1B_.wvu.FilterData" localSheetId="0" hidden="1">' внеочер. февраль'!$A$9:$N$1649</definedName>
    <definedName name="Z_6997ED29_962E_47B9_B559_554FD8916D58_.wvu.FilterData" localSheetId="0" hidden="1">' внеочер. февраль'!$A$10:$F$1649</definedName>
    <definedName name="Z_6A60E5DE_072E_4FDC_B3B1_C51A06C68D12_.wvu.FilterData" localSheetId="0" hidden="1">' внеочер. февраль'!$A$9:$F$1648</definedName>
    <definedName name="Z_6B53614A_1A00_4EF5_89E1_B2294B7D8171_.wvu.FilterData" localSheetId="0" hidden="1">' внеочер. февраль'!$A$9:$N$1648</definedName>
    <definedName name="Z_6B554D8B_77B9_448C_A84E_14931ECB8650_.wvu.FilterData" localSheetId="0" hidden="1">' внеочер. февраль'!$A$9:$N$1649</definedName>
    <definedName name="Z_6C1B9345_356B_423E_8FB7_4C421F35B6A2_.wvu.FilterData" localSheetId="0" hidden="1">' внеочер. февраль'!$A$10:$F$1649</definedName>
    <definedName name="Z_6D603C54_4EEE_4009_B94C_E839F3497731_.wvu.FilterData" localSheetId="0" hidden="1">' внеочер. февраль'!$A$9:$N$1649</definedName>
    <definedName name="Z_6D9DE2CE_B469_4FF7_874A_C48AFC8F3EEF_.wvu.FilterData" localSheetId="0" hidden="1">' внеочер. февраль'!$A$9:$F$1648</definedName>
    <definedName name="Z_6EE4502B_63E7_4ED6_B992_CCD5B7B4A165_.wvu.FilterData" localSheetId="0" hidden="1">' внеочер. февраль'!$A$10:$N$1648</definedName>
    <definedName name="Z_6F1642B9_D8EF_42E3_8999_92654ABEA477_.wvu.FilterData" localSheetId="0" hidden="1">' внеочер. февраль'!$A$9:$P$1648</definedName>
    <definedName name="Z_6F1F61B4_3754_464D_BB52_E2BC11F1686C_.wvu.FilterData" localSheetId="0" hidden="1">' внеочер. февраль'!$A$10:$O$1649</definedName>
    <definedName name="Z_706B6986_ADE6_44EC_B365_BF4F3D282355_.wvu.FilterData" localSheetId="0" hidden="1">' внеочер. февраль'!$A$10:$O$1649</definedName>
    <definedName name="Z_70A5F414_5C8E_42AD_8968_50EC3D9A8B66_.wvu.FilterData" localSheetId="0" hidden="1">' внеочер. февраль'!$A$9:$N$1649</definedName>
    <definedName name="Z_70BF8161_C874_45F3_B727_7B6340759CBD_.wvu.FilterData" localSheetId="0" hidden="1">' внеочер. февраль'!$A$9:$N$1649</definedName>
    <definedName name="Z_70E012C9_AE57_47C2_BE50_D167A3C250A2_.wvu.FilterData" localSheetId="0" hidden="1">' внеочер. февраль'!$A$9:$P$1648</definedName>
    <definedName name="Z_71FA8CDB_2DEC_4523_8B4A_07241D18375B_.wvu.FilterData" localSheetId="0" hidden="1">' внеочер. февраль'!$A$9:$F$1648</definedName>
    <definedName name="Z_721361E1_27A1_4D9B_B147_FD5E89D5E4D9_.wvu.FilterData" localSheetId="0" hidden="1">' внеочер. февраль'!$A$10:$P$1648</definedName>
    <definedName name="Z_7306BFBA_BCAD_4644_B502_4D86EDCF61D9_.wvu.FilterData" localSheetId="0" hidden="1">' внеочер. февраль'!$A$10:$N$1649</definedName>
    <definedName name="Z_73248332_64FD_4931_83CF_A5A902AC8CE0_.wvu.FilterData" localSheetId="0" hidden="1">' внеочер. февраль'!$A$10:$P$1648</definedName>
    <definedName name="Z_74AAF578_B55E_4738_AF4B_ED62BC3A47E2_.wvu.FilterData" localSheetId="0" hidden="1">' внеочер. февраль'!$A$9:$F$1649</definedName>
    <definedName name="Z_74AAF578_B55E_4738_AF4B_ED62BC3A47E2_.wvu.PrintArea" localSheetId="0" hidden="1">' внеочер. февраль'!$A$1:$F$1648</definedName>
    <definedName name="Z_74AAF578_B55E_4738_AF4B_ED62BC3A47E2_.wvu.PrintTitles" localSheetId="0" hidden="1">' внеочер. февраль'!$9:$10</definedName>
    <definedName name="Z_751DE14B_55A1_45B0_AE2D_CF1E12DCCC93_.wvu.FilterData" localSheetId="0" hidden="1">' внеочер. февраль'!$A$10:$F$1649</definedName>
    <definedName name="Z_753FE824_9F25_4C9D_B1EC_698FB4DA711B_.wvu.FilterData" localSheetId="0" hidden="1">' внеочер. февраль'!$A$10:$O$1649</definedName>
    <definedName name="Z_771B51F9_DBE4_452E_B398_B5E085AE04FA_.wvu.FilterData" localSheetId="0" hidden="1">' внеочер. февраль'!$A$9:$F$1648</definedName>
    <definedName name="Z_774DA42B_0322_4E86_9FE8_8CE9BE46B38A_.wvu.FilterData" localSheetId="0" hidden="1">' внеочер. февраль'!$A$9:$N$1649</definedName>
    <definedName name="Z_7893FC3C_95F8_4D88_923A_D8B3F348D1CF_.wvu.FilterData" localSheetId="0" hidden="1">' внеочер. февраль'!$A$10:$F$1649</definedName>
    <definedName name="Z_7893FC3C_95F8_4D88_923A_D8B3F348D1CF_.wvu.PrintArea" localSheetId="0" hidden="1">' внеочер. февраль'!$A$6:$F$1648</definedName>
    <definedName name="Z_7893FC3C_95F8_4D88_923A_D8B3F348D1CF_.wvu.PrintTitles" localSheetId="0" hidden="1">' внеочер. февраль'!$9:$10</definedName>
    <definedName name="Z_79B20C5C_C3C9_4372_BD65_6A38CB974027_.wvu.FilterData" localSheetId="0" hidden="1">' внеочер. февраль'!$A$9:$N$1649</definedName>
    <definedName name="Z_7D6D141F_F219_4EB9_B8D4_C0AD6225A135_.wvu.FilterData" localSheetId="0" hidden="1">' внеочер. февраль'!$A$9:$N$1649</definedName>
    <definedName name="Z_7DB97AF0_FA73_4EEA_9119_62D8109B2682_.wvu.FilterData" localSheetId="0" hidden="1">' внеочер. февраль'!$A$9:$F$1649</definedName>
    <definedName name="Z_7DD4BB8C_7636_4F2B_8EEA_CF8596256A4B_.wvu.FilterData" localSheetId="0" hidden="1">' внеочер. февраль'!$A$10:$P$1648</definedName>
    <definedName name="Z_7E474228_296C_4EC6_A30F_08BB20EAA32E_.wvu.FilterData" localSheetId="0" hidden="1">' внеочер. февраль'!$A$9:$N$1649</definedName>
    <definedName name="Z_7F043212_AB51_4C63_B343_99F1F7C8B36E_.wvu.FilterData" localSheetId="0" hidden="1">' внеочер. февраль'!$A$9:$F$1648</definedName>
    <definedName name="Z_7F0DE290_DF17_44AF_8197_4C1B49D6C4F5_.wvu.FilterData" localSheetId="0" hidden="1">' внеочер. февраль'!$A$9:$F$1648</definedName>
    <definedName name="Z_7F423C0B_595E_41F7_BBA7_7CD32E16EFC8_.wvu.FilterData" localSheetId="0" hidden="1">' внеочер. февраль'!$A$9:$N$1649</definedName>
    <definedName name="Z_7F58A429_D91C_405C_9F0B_E3CE36255508_.wvu.FilterData" localSheetId="0" hidden="1">' внеочер. февраль'!$A$9:$N$1649</definedName>
    <definedName name="Z_7F9495A6_7CAE_4B98_902B_108F0875E090_.wvu.FilterData" localSheetId="0" hidden="1">' внеочер. февраль'!$A$10:$P$1648</definedName>
    <definedName name="Z_7F98A82B_D149_40A2_9590_596335662CA0_.wvu.FilterData" localSheetId="0" hidden="1">' внеочер. февраль'!$A$9:$N$1649</definedName>
    <definedName name="Z_7FE4F89C_48F5_4C31_BF84_8189547EB022_.wvu.FilterData" localSheetId="0" hidden="1">' внеочер. февраль'!$A$10:$N$1649</definedName>
    <definedName name="Z_8022A33D_73C0_4F58_93AD_352D8E100714_.wvu.FilterData" localSheetId="0" hidden="1">' внеочер. февраль'!$A$9:$N$1648</definedName>
    <definedName name="Z_80831F69_36B0_41BF_B8F6_F8FB6A0CDD29_.wvu.FilterData" localSheetId="0" hidden="1">' внеочер. февраль'!$A$9:$N$1649</definedName>
    <definedName name="Z_81187DE8_4BAB_439C_BAE2_68F0652FFDC6_.wvu.FilterData" localSheetId="0" hidden="1">' внеочер. февраль'!$A$10:$N$1648</definedName>
    <definedName name="Z_8134AB87_5EC8_4082_97BD_B38C1E4784B2_.wvu.FilterData" localSheetId="0" hidden="1">' внеочер. февраль'!$A$10:$P$1649</definedName>
    <definedName name="Z_816747B0_A139_4424_953D_082311B933F7_.wvu.FilterData" localSheetId="0" hidden="1">' внеочер. февраль'!$A$10:$P$1648</definedName>
    <definedName name="Z_81CE0CC4_5A0B_498D_8251_306A0D21079D_.wvu.FilterData" localSheetId="0" hidden="1">' внеочер. февраль'!$A$10:$F$1649</definedName>
    <definedName name="Z_81E3620A_DBAB_44D2_BC4F_DAC30DADDE8B_.wvu.FilterData" localSheetId="0" hidden="1">' внеочер. февраль'!$A$10:$N$1648</definedName>
    <definedName name="Z_81F580AE_A2CF_4998_B7F6_C7A0E0191D43_.wvu.FilterData" localSheetId="0" hidden="1">' внеочер. февраль'!$A$10:$O$1649</definedName>
    <definedName name="Z_82629916_2329_4B48_9699_BD60DE27F549_.wvu.FilterData" localSheetId="0" hidden="1">' внеочер. февраль'!$A$10:$N$1648</definedName>
    <definedName name="Z_82A983D5_4FFE_40E1_B378_269CB6D2EB7E_.wvu.FilterData" localSheetId="0" hidden="1">' внеочер. февраль'!$A$10:$P$1648</definedName>
    <definedName name="Z_833832C8_9722_4473_AF9E_00853AE60DC0_.wvu.FilterData" localSheetId="0" hidden="1">' внеочер. февраль'!$A$9:$F$1648</definedName>
    <definedName name="Z_83CD57CE_8FE3_447E_AF26_12ADCAC66484_.wvu.FilterData" localSheetId="0" hidden="1">' внеочер. февраль'!$A$9:$N$1649</definedName>
    <definedName name="Z_845E2D03_FCA7_4E4A_9BD6_FF0A0AF91BC3_.wvu.FilterData" localSheetId="0" hidden="1">' внеочер. февраль'!$A$9:$N$1648</definedName>
    <definedName name="Z_8467E3D2_C295_489B_9173_EBF9208E30DB_.wvu.FilterData" localSheetId="0" hidden="1">' внеочер. февраль'!$A$10:$N$1648</definedName>
    <definedName name="Z_847EC3C3_BB4E_4AC0_8E83_E5818903EEA9_.wvu.FilterData" localSheetId="0" hidden="1">' внеочер. февраль'!$A$9:$F$1648</definedName>
    <definedName name="Z_8483AABE_813D_42D6_86B2_97AC5222DEE8_.wvu.FilterData" localSheetId="0" hidden="1">' внеочер. февраль'!$A$10:$P$1648</definedName>
    <definedName name="Z_849B86E2_1141_4A01_899A_4F15E00F34C8_.wvu.FilterData" localSheetId="0" hidden="1">' внеочер. февраль'!$A$10:$P$1648</definedName>
    <definedName name="Z_84AC7ED4_718B_40BF_892E_ABD4B28D1805_.wvu.FilterData" localSheetId="0" hidden="1">' внеочер. февраль'!$A$9:$N$1649</definedName>
    <definedName name="Z_8641C9CE_CF0B_47B3_96C3_90D4839F015C_.wvu.FilterData" localSheetId="0" hidden="1">' внеочер. февраль'!$A$10:$O$1649</definedName>
    <definedName name="Z_8641C9CE_CF0B_47B3_96C3_90D4839F015C_.wvu.PrintArea" localSheetId="0" hidden="1">' внеочер. февраль'!$A$6:$F$1646</definedName>
    <definedName name="Z_8641C9CE_CF0B_47B3_96C3_90D4839F015C_.wvu.PrintTitles" localSheetId="0" hidden="1">' внеочер. февраль'!$9:$10</definedName>
    <definedName name="Z_86F7F2B2_8D1E_477E_A262_533C7086BDBF_.wvu.FilterData" localSheetId="0" hidden="1">' внеочер. февраль'!$A$10:$N$1648</definedName>
    <definedName name="Z_87A5C852_18B1_49C2_B4B9_EDAC72883AEC_.wvu.FilterData" localSheetId="0" hidden="1">' внеочер. февраль'!$A$9:$N$1649</definedName>
    <definedName name="Z_8859DFBD_9EBD_4709_AF98_84043960E17A_.wvu.FilterData" localSheetId="0" hidden="1">' внеочер. февраль'!$A$10:$N$1648</definedName>
    <definedName name="Z_889F7246_EA60_4B00_9350_C4756046D0CC_.wvu.FilterData" localSheetId="0" hidden="1">' внеочер. февраль'!$A$9:$N$1649</definedName>
    <definedName name="Z_88B6D832_3898_4647_8839_A376332E41A9_.wvu.FilterData" localSheetId="0" hidden="1">' внеочер. февраль'!$A$10:$O$1649</definedName>
    <definedName name="Z_891F8F45_6149_4978_92DF_1B95C00922D1_.wvu.FilterData" localSheetId="0" hidden="1">' внеочер. февраль'!$A$10:$O$1649</definedName>
    <definedName name="Z_89738E42_B141_4593_B4DA_4DBB6AF2CA99_.wvu.FilterData" localSheetId="0" hidden="1">' внеочер. февраль'!$A$9:$N$1649</definedName>
    <definedName name="Z_89F94D2A_1560_49CB_B443_551454051AD4_.wvu.FilterData" localSheetId="0" hidden="1">' внеочер. февраль'!$A$9:$F$1648</definedName>
    <definedName name="Z_8B23DF1E_C410_42E5_AEF6_FC5E4432469D_.wvu.FilterData" localSheetId="0" hidden="1">' внеочер. февраль'!$A$10:$P$1649</definedName>
    <definedName name="Z_8B5C882F_54ED_4708_9761_621775BCCBE1_.wvu.FilterData" localSheetId="0" hidden="1">' внеочер. февраль'!$A$10:$O$1649</definedName>
    <definedName name="Z_8C98B3ED_59A8_44D0_839C_5819C4053CB4_.wvu.FilterData" localSheetId="0" hidden="1">' внеочер. февраль'!$A$10:$N$1648</definedName>
    <definedName name="Z_8CD87BFA_361F_4571_B45F_75E43EB71BE5_.wvu.FilterData" localSheetId="0" hidden="1">' внеочер. февраль'!$A$9:$N$1649</definedName>
    <definedName name="Z_8CD9394E_70DE_4574_AC59_10465EB98C86_.wvu.FilterData" localSheetId="0" hidden="1">' внеочер. февраль'!$A$9:$F$1648</definedName>
    <definedName name="Z_8D1CD965_A43A_4C52_AF46_3068111CADC6_.wvu.FilterData" localSheetId="0" hidden="1">' внеочер. февраль'!$A$9:$F$1648</definedName>
    <definedName name="Z_8E75F827_DF15_4FBC_9052_C70DE1B79685_.wvu.FilterData" localSheetId="0" hidden="1">' внеочер. февраль'!$A$9:$F$1649</definedName>
    <definedName name="Z_9034C8F6_DBDC_4F08_AABD_282695142426_.wvu.FilterData" localSheetId="0" hidden="1">' внеочер. февраль'!$A$10:$O$1649</definedName>
    <definedName name="Z_905CE83D_E30A_4A01_86FD_190919037902_.wvu.FilterData" localSheetId="0" hidden="1">' внеочер. февраль'!$A$9:$N$1648</definedName>
    <definedName name="Z_90949262_5646_45D1_85C5_AB805CA23693_.wvu.FilterData" localSheetId="0" hidden="1">' внеочер. февраль'!$A$9:$N$1649</definedName>
    <definedName name="Z_90EC6022_DF7C_42D2_AE1A_5AE39547B5FA_.wvu.FilterData" localSheetId="0" hidden="1">' внеочер. февраль'!$A$9:$F$1648</definedName>
    <definedName name="Z_91611F5A_8C93_47E1_9BFA_AA9E2C7F0FF0_.wvu.FilterData" localSheetId="0" hidden="1">' внеочер. февраль'!$A$10:$P$1649</definedName>
    <definedName name="Z_91789F8D_09DE_4D9D_A000_E592854F6114_.wvu.FilterData" localSheetId="0" hidden="1">' внеочер. февраль'!$A$9:$N$1649</definedName>
    <definedName name="Z_9200834E_BE8F_482B_9EAE_CE1DA3E3AAE7_.wvu.FilterData" localSheetId="0" hidden="1">' внеочер. февраль'!$A$10:$N$1648</definedName>
    <definedName name="Z_922CA2BD_D42A_4AA1_B3FF_EF65229DD2D9_.wvu.FilterData" localSheetId="0" hidden="1">' внеочер. февраль'!$A$9:$P$1648</definedName>
    <definedName name="Z_92886A16_9959_4F85_981D_CB08C1D69157_.wvu.FilterData" localSheetId="0" hidden="1">' внеочер. февраль'!$A$9:$F$1648</definedName>
    <definedName name="Z_928CD297_40B8_4EA6_9D9C_17EDE3B6C837_.wvu.FilterData" localSheetId="0" hidden="1">' внеочер. февраль'!$A$9:$N$1649</definedName>
    <definedName name="Z_92BDDC9D_CA4D_4723_8389_3AC389E993FA_.wvu.FilterData" localSheetId="0" hidden="1">' внеочер. февраль'!$A$10:$N$1648</definedName>
    <definedName name="Z_92FB02EC_96F7_4FE5_ABCD_C129BD8233F3_.wvu.FilterData" localSheetId="0" hidden="1">' внеочер. февраль'!$A$10:$F$1649</definedName>
    <definedName name="Z_9372D65B_4640_4EED_88A9_5C69A952BF4B_.wvu.FilterData" localSheetId="0" hidden="1">' внеочер. февраль'!$A$10:$N$1648</definedName>
    <definedName name="Z_9387EA35_C997_4A2D_A3C4_5FC749CCFF93_.wvu.FilterData" localSheetId="0" hidden="1">' внеочер. февраль'!$A$9:$F$1649</definedName>
    <definedName name="Z_948CCEEF_71DD_45E4_A291_224AE9E1402E_.wvu.FilterData" localSheetId="0" hidden="1">' внеочер. февраль'!$A$10:$N$1648</definedName>
    <definedName name="Z_94E1808D_0F24_4E77_BE13_84F0F2A74028_.wvu.FilterData" localSheetId="0" hidden="1">' внеочер. февраль'!$A$9:$F$1648</definedName>
    <definedName name="Z_95622BDA_7686_4CDD_8C17_E7FFD36BA9D6_.wvu.FilterData" localSheetId="0" hidden="1">' внеочер. февраль'!$A$10:$O$1648</definedName>
    <definedName name="Z_95ADB5DB_F288_4777_98A2_B72D513A941E_.wvu.FilterData" localSheetId="0" hidden="1">' внеочер. февраль'!$A$10:$F$1649</definedName>
    <definedName name="Z_95D9597E_9CC5_4A83_8DE2_A84FE725BB00_.wvu.FilterData" localSheetId="0" hidden="1">' внеочер. февраль'!$A$9:$F$1649</definedName>
    <definedName name="Z_964CF70B_EC44_4D2E_9489_E9C7C16C13DD_.wvu.FilterData" localSheetId="0" hidden="1">' внеочер. февраль'!$A$41:$O$1649</definedName>
    <definedName name="Z_968A47CC_A398_4723_9692_72ABDBB04DA7_.wvu.FilterData" localSheetId="0" hidden="1">' внеочер. февраль'!$A$9:$N$1649</definedName>
    <definedName name="Z_96FDFDEB_8271_4B2B_96E8_8629C9EE156F_.wvu.FilterData" localSheetId="0" hidden="1">' внеочер. февраль'!$A$9:$F$1648</definedName>
    <definedName name="Z_98F70021_FAF5_4190_9352_B296315F3A82_.wvu.FilterData" localSheetId="0" hidden="1">' внеочер. февраль'!$A$10:$N$1649</definedName>
    <definedName name="Z_994216CB_486A_497E_B4E9_B7E7847952AB_.wvu.FilterData" localSheetId="0" hidden="1">' внеочер. февраль'!$A$10:$N$1648</definedName>
    <definedName name="Z_99D03D4B_C024_450C_A504_480CD9040D57_.wvu.FilterData" localSheetId="0" hidden="1">' внеочер. февраль'!$A$10:$O$1649</definedName>
    <definedName name="Z_9AAB4CD6_CA02_4F89_A251_5612382981E7_.wvu.FilterData" localSheetId="0" hidden="1">' внеочер. февраль'!$A$10:$F$1649</definedName>
    <definedName name="Z_9AAB4CD6_CA02_4F89_A251_5612382981E7_.wvu.PrintArea" localSheetId="0" hidden="1">' внеочер. февраль'!$A$1:$F$1648</definedName>
    <definedName name="Z_9AAB4CD6_CA02_4F89_A251_5612382981E7_.wvu.PrintTitles" localSheetId="0" hidden="1">' внеочер. февраль'!$9:$10</definedName>
    <definedName name="Z_9B52F6D1_97CB_4598_9AD6_4D2C25361A77_.wvu.FilterData" localSheetId="0" hidden="1">' внеочер. февраль'!$A$9:$F$1648</definedName>
    <definedName name="Z_9B53A1D4_1AFC_40E5_93A2_54DDA75F241B_.wvu.FilterData" localSheetId="0" hidden="1">' внеочер. февраль'!$A$9:$F$1648</definedName>
    <definedName name="Z_9B559308_F378_48A6_9FD2_E2D2221CB0B8_.wvu.FilterData" localSheetId="0" hidden="1">' внеочер. февраль'!$A$10:$O$1649</definedName>
    <definedName name="Z_9B76965E_923A_4075_8045_4A9D6F9FF54B_.wvu.FilterData" localSheetId="0" hidden="1">' внеочер. февраль'!$A$10:$O$1649</definedName>
    <definedName name="Z_9B7B7426_762A_4864_A694_38ACEC9A9D68_.wvu.FilterData" localSheetId="0" hidden="1">' внеочер. февраль'!$A$10:$O$1649</definedName>
    <definedName name="Z_9BA12797_DC9D_42B0_8EC1_66D6738E4D3A_.wvu.FilterData" localSheetId="0" hidden="1">' внеочер. февраль'!$A$10:$O$1649</definedName>
    <definedName name="Z_9C37D6F6_8B04_4DEE_8AF8_4405463F5992_.wvu.FilterData" localSheetId="0" hidden="1">' внеочер. февраль'!$A$9:$F$1649</definedName>
    <definedName name="Z_9C407D0F_A0F4_4E29_88F0_4D81296FC8F3_.wvu.FilterData" localSheetId="0" hidden="1">' внеочер. февраль'!$A$10:$N$1648</definedName>
    <definedName name="Z_9CB54497_D41F_4250_859B_47C3F4DA8022_.wvu.FilterData" localSheetId="0" hidden="1">' внеочер. февраль'!$A$9:$N$1648</definedName>
    <definedName name="Z_9CDF41DC_16E1_439F_81E4_382FDD164AB0_.wvu.FilterData" localSheetId="0" hidden="1">' внеочер. февраль'!$A$9:$N$1648</definedName>
    <definedName name="Z_9DBEB584_CE50_4792_B4C7_963D2F01628C_.wvu.FilterData" localSheetId="0" hidden="1">' внеочер. февраль'!$A$9:$P$1648</definedName>
    <definedName name="Z_9E02483D_472E_416F_942F_1B8A3FE7C9B2_.wvu.FilterData" localSheetId="0" hidden="1">' внеочер. февраль'!$A$9:$F$1648</definedName>
    <definedName name="Z_9E0F49E9_5D89_465B_BEA9_F0A567B7E5D9_.wvu.FilterData" localSheetId="0" hidden="1">' внеочер. февраль'!$A$10:$N$1648</definedName>
    <definedName name="Z_9E6CD183_C26E_4801_B6BB_EDF3444DB126_.wvu.FilterData" localSheetId="0" hidden="1">' внеочер. февраль'!$A$9:$F$1648</definedName>
    <definedName name="Z_9E79D739_EB5D_4BDA_863C_223372E24C15_.wvu.FilterData" localSheetId="0" hidden="1">' внеочер. февраль'!$A$9:$N$1649</definedName>
    <definedName name="Z_9E858B8C_49A0_4388_8136_BCC8EF189065_.wvu.FilterData" localSheetId="0" hidden="1">' внеочер. февраль'!$A$9:$F$1649</definedName>
    <definedName name="Z_9EF940ED_0DFA_4531_BF4A_4CF4792B989A_.wvu.FilterData" localSheetId="0" hidden="1">' внеочер. февраль'!$A$9:$F$1648</definedName>
    <definedName name="Z_9F010009_6ED8_46DD_8E37_E793607C1572_.wvu.FilterData" localSheetId="0" hidden="1">' внеочер. февраль'!$A$10:$O$1649</definedName>
    <definedName name="Z_9FD59F9F_BCF2_416D_BFD4_AE16A237801F_.wvu.FilterData" localSheetId="0" hidden="1">' внеочер. февраль'!$A$10:$N$1648</definedName>
    <definedName name="Z_A039AD3A_7BA1_4014_AC4C_14445E36DB97_.wvu.FilterData" localSheetId="0" hidden="1">' внеочер. февраль'!$A$9:$F$1649</definedName>
    <definedName name="Z_A06FE348_8614_454C_92DF_0B09F9395F1B_.wvu.FilterData" localSheetId="0" hidden="1">' внеочер. февраль'!$A$10:$O$1649</definedName>
    <definedName name="Z_A1566C65_087F_49E5_974A_3CF262DD7D96_.wvu.FilterData" localSheetId="0" hidden="1">' внеочер. февраль'!$A$10:$O$1649</definedName>
    <definedName name="Z_A1566C65_087F_49E5_974A_3CF262DD7D96_.wvu.PrintArea" localSheetId="0" hidden="1">' внеочер. февраль'!$A$6:$F$1648</definedName>
    <definedName name="Z_A1566C65_087F_49E5_974A_3CF262DD7D96_.wvu.PrintTitles" localSheetId="0" hidden="1">' внеочер. февраль'!$9:$10</definedName>
    <definedName name="Z_A1E7614C_EA1D_4DD9_A5BE_06998E359664_.wvu.FilterData" localSheetId="0" hidden="1">' внеочер. февраль'!$A$9:$F$1648</definedName>
    <definedName name="Z_A26AA667_9B96_4010_9286_4197ADAD48FF_.wvu.FilterData" localSheetId="0" hidden="1">' внеочер. февраль'!$A$10:$N$1648</definedName>
    <definedName name="Z_A2C6FC2B_2FE2_4126_B5E7_6C72C1B16939_.wvu.FilterData" localSheetId="0" hidden="1">' внеочер. февраль'!$A$9:$N$1649</definedName>
    <definedName name="Z_A35A3A32_3E47_44B1_99A3_E8EC0EC7DC05_.wvu.FilterData" localSheetId="0" hidden="1">' внеочер. февраль'!$A$10:$P$1648</definedName>
    <definedName name="Z_A41907D3_A747_4FE5_B529_B90483A993C5_.wvu.FilterData" localSheetId="0" hidden="1">' внеочер. февраль'!$A$9:$N$1649</definedName>
    <definedName name="Z_A4204BA4_F839_4ADA_941D_7D1C7DB49A61_.wvu.FilterData" localSheetId="0" hidden="1">' внеочер. февраль'!$A$9:$N$1649</definedName>
    <definedName name="Z_A44F6AB4_723C_4F38_8011_57751528F7BA_.wvu.FilterData" localSheetId="0" hidden="1">' внеочер. февраль'!$A$9:$N$1649</definedName>
    <definedName name="Z_A46DA323_EE00_47C4_A421_405F80D07070_.wvu.FilterData" localSheetId="0" hidden="1">' внеочер. февраль'!$A$9:$N$1649</definedName>
    <definedName name="Z_A4FD7A48_48F4_4C0C_A3C9_67269AB3732F_.wvu.FilterData" localSheetId="0" hidden="1">' внеочер. февраль'!$A$9:$N$1649</definedName>
    <definedName name="Z_A6AD508C_AEED_43C7_976B_DD33C28CD830_.wvu.FilterData" localSheetId="0" hidden="1">' внеочер. февраль'!$A$10:$F$1649</definedName>
    <definedName name="Z_A6AD508C_AEED_43C7_976B_DD33C28CD830_.wvu.PrintArea" localSheetId="0" hidden="1">' внеочер. февраль'!$A$6:$F$1648</definedName>
    <definedName name="Z_A6AD508C_AEED_43C7_976B_DD33C28CD830_.wvu.PrintTitles" localSheetId="0" hidden="1">' внеочер. февраль'!$9:$10</definedName>
    <definedName name="Z_A6B912BE_7E81_413F_A283_70ECEFA31FE6_.wvu.FilterData" localSheetId="0" hidden="1">' внеочер. февраль'!$A$9:$N$1648</definedName>
    <definedName name="Z_AA770B74_AB00_4221_93B5_9CD188AFD758_.wvu.FilterData" localSheetId="0" hidden="1">' внеочер. февраль'!$A$10:$N$1648</definedName>
    <definedName name="Z_AAECDBAD_2D58_488A_AE69_032547095D83_.wvu.FilterData" localSheetId="0" hidden="1">' внеочер. февраль'!$A$9:$F$1648</definedName>
    <definedName name="Z_AB9E444A_4641_490C_87F5_72C9BE8D653D_.wvu.FilterData" localSheetId="0" hidden="1">' внеочер. февраль'!$A$9:$N$1649</definedName>
    <definedName name="Z_ABE0CD0A_B3F4_4168_BC82_510F7EAF806B_.wvu.FilterData" localSheetId="0" hidden="1">' внеочер. февраль'!$A$10:$P$1648</definedName>
    <definedName name="Z_AC17C26C_531A_4045_B710_DBD728BDFBA3_.wvu.FilterData" localSheetId="0" hidden="1">' внеочер. февраль'!$A$10:$P$1648</definedName>
    <definedName name="Z_AC9AF8B7_C815_4420_BF8C_CE10424E3FBC_.wvu.FilterData" localSheetId="0" hidden="1">' внеочер. февраль'!$A$9:$N$1649</definedName>
    <definedName name="Z_ACE8CA8E_0DD7_469E_BAB8_41731E995BD6_.wvu.FilterData" localSheetId="0" hidden="1">' внеочер. февраль'!$A$10:$N$1649</definedName>
    <definedName name="Z_AD955D1E_A9CB_408C_80A9_ECE8A4542A0F_.wvu.FilterData" localSheetId="0" hidden="1">' внеочер. февраль'!$A$10:$N$1649</definedName>
    <definedName name="Z_ADC0005C_677C_41B2_8525_B7C461FD4A2D_.wvu.FilterData" localSheetId="0" hidden="1">' внеочер. февраль'!$A$9:$N$1649</definedName>
    <definedName name="Z_AF5F5B9D_82F4_431F_BF91_FBE22B47C4BD_.wvu.FilterData" localSheetId="0" hidden="1">' внеочер. февраль'!$A$10:$N$1648</definedName>
    <definedName name="Z_AF5F5B9D_82F4_431F_BF91_FBE22B47C4BD_.wvu.PrintArea" localSheetId="0" hidden="1">' внеочер. февраль'!$A$7:$F$1649</definedName>
    <definedName name="Z_B01ED7FC_2589_4F15_A9B0_2DCFD9B96797_.wvu.FilterData" localSheetId="0" hidden="1">' внеочер. февраль'!$A$10:$N$1648</definedName>
    <definedName name="Z_B097A229_5121_4AF5_B1B4_61318CB48B0B_.wvu.FilterData" localSheetId="0" hidden="1">' внеочер. февраль'!$A$9:$N$1648</definedName>
    <definedName name="Z_B0D2DE77_CE5B_4A0F_B9F2_E14288CC812D_.wvu.FilterData" localSheetId="0" hidden="1">' внеочер. февраль'!$A$9:$F$1648</definedName>
    <definedName name="Z_B0FE11E4_EDE0_4ADE_BF79_F0A0A4054D5F_.wvu.FilterData" localSheetId="0" hidden="1">' внеочер. февраль'!$A$10:$O$1649</definedName>
    <definedName name="Z_B1C1D5DA_191E_4428_8554_05123A66C738_.wvu.FilterData" localSheetId="0" hidden="1">' внеочер. февраль'!$A$9:$N$1649</definedName>
    <definedName name="Z_B20562DA_D57A_4C07_A576_D726EC79AFDC_.wvu.FilterData" localSheetId="0" hidden="1">' внеочер. февраль'!$A$9:$P$1648</definedName>
    <definedName name="Z_B3291709_F202_4C8B_B6E8_E7621A85BED2_.wvu.FilterData" localSheetId="0" hidden="1">' внеочер. февраль'!$A$9:$F$1648</definedName>
    <definedName name="Z_B3401C02_8524_4147_AD63_3FD2EE54ED91_.wvu.FilterData" localSheetId="0" hidden="1">' внеочер. февраль'!$A$9:$F$1649</definedName>
    <definedName name="Z_B3C08693_68AB_4876_B1B1_89EBC7556563_.wvu.FilterData" localSheetId="0" hidden="1">' внеочер. февраль'!$A$9:$F$1649</definedName>
    <definedName name="Z_B44829E8_B869_475C_AC0C_C52348ADF3C1_.wvu.FilterData" localSheetId="0" hidden="1">' внеочер. февраль'!$A$9:$N$1649</definedName>
    <definedName name="Z_B4896FA6_1C89_410C_AB42_02C3CF260B87_.wvu.FilterData" localSheetId="0" hidden="1">' внеочер. февраль'!$A$10:$N$1648</definedName>
    <definedName name="Z_B4F547DE_1082_4170_A71A_739739AE60C2_.wvu.FilterData" localSheetId="0" hidden="1">' внеочер. февраль'!$A$9:$F$1648</definedName>
    <definedName name="Z_B52569C3_42DD_4682_9659_7354F0A9CE0C_.wvu.FilterData" localSheetId="0" hidden="1">' внеочер. февраль'!$A$9:$P$1649</definedName>
    <definedName name="Z_B528D26D_06E6_4C12_8263_82C496EC68EA_.wvu.FilterData" localSheetId="0" hidden="1">' внеочер. февраль'!$A$9:$F$1648</definedName>
    <definedName name="Z_B6149A2C_C564_4A9F_B319_26AAE07BDD04_.wvu.FilterData" localSheetId="0" hidden="1">' внеочер. февраль'!$A$10:$O$1649</definedName>
    <definedName name="Z_B685118C_5086_43E2_8391_4A997BEC86B3_.wvu.FilterData" localSheetId="0" hidden="1">' внеочер. февраль'!$A$9:$F$1648</definedName>
    <definedName name="Z_B77126F1_F18A_4CC3_95B2_05BE301C0282_.wvu.FilterData" localSheetId="0" hidden="1">' внеочер. февраль'!$A$9:$N$1649</definedName>
    <definedName name="Z_B792587D_7C9A_4CCB_956D_F493042BF727_.wvu.FilterData" localSheetId="0" hidden="1">' внеочер. февраль'!$A$9:$N$1649</definedName>
    <definedName name="Z_B8C50A74_4430_4714_B69D_5E0016E26258_.wvu.FilterData" localSheetId="0" hidden="1">' внеочер. февраль'!$A$9:$F$1649</definedName>
    <definedName name="Z_B8E6444E_5720_4EB3_8670_DD94F3A620D5_.wvu.FilterData" localSheetId="0" hidden="1">' внеочер. февраль'!$A$9:$N$1648</definedName>
    <definedName name="Z_B95080BF_CDC5_4D6D_B077_10405B765AEB_.wvu.FilterData" localSheetId="0" hidden="1">' внеочер. февраль'!$A$10:$N$1648</definedName>
    <definedName name="Z_BB86B60A_9CF8_4AF6_9A6A_427A52ECA8BF_.wvu.FilterData" localSheetId="0" hidden="1">' внеочер. февраль'!$A$10:$N$1648</definedName>
    <definedName name="Z_BC29EA07_833C_4684_B11A_9F6F7648DF17_.wvu.FilterData" localSheetId="0" hidden="1">' внеочер. февраль'!$A$9:$F$1649</definedName>
    <definedName name="Z_BC31850A_ABE5_4A99_B186_637F1FBFF8A8_.wvu.FilterData" localSheetId="0" hidden="1">' внеочер. февраль'!$A$9:$F$1649</definedName>
    <definedName name="Z_BCA00BD8_88BE_4596_AC6B_93F0132A7A73_.wvu.FilterData" localSheetId="0" hidden="1">' внеочер. февраль'!$A$10:$N$1649</definedName>
    <definedName name="Z_BCC57851_F14F_4D92_A166_0A08DBE25A93_.wvu.FilterData" localSheetId="0" hidden="1">' внеочер. февраль'!$A$10:$F$1649</definedName>
    <definedName name="Z_BEB95927_3B4C_44DD_BC4B_32FAE211AA5A_.wvu.FilterData" localSheetId="0" hidden="1">' внеочер. февраль'!$A$9:$F$1649</definedName>
    <definedName name="Z_BEC8FF1A_43AF_473E_9F5A_B719AA61A2AC_.wvu.FilterData" localSheetId="0" hidden="1">' внеочер. февраль'!$A$10:$P$1648</definedName>
    <definedName name="Z_BF217E02_4C7A_4647_B728_89924D5229DF_.wvu.FilterData" localSheetId="0" hidden="1">' внеочер. февраль'!$A$10:$N$1648</definedName>
    <definedName name="Z_BF38D706_05DF_4D52_9062_55705BBFEB3E_.wvu.FilterData" localSheetId="0" hidden="1">' внеочер. февраль'!$A$10:$N$1648</definedName>
    <definedName name="Z_BFF34844_9A41_4F08_A2E4_AB91694BAB43_.wvu.FilterData" localSheetId="0" hidden="1">' внеочер. февраль'!$A$9:$F$1648</definedName>
    <definedName name="Z_C10DF33C_11B4_47D3_8EBF_B66051D9A7A0_.wvu.FilterData" localSheetId="0" hidden="1">' внеочер. февраль'!$A$9:$N$1649</definedName>
    <definedName name="Z_C11113CE_7A20_4635_A473_39FFDFC0DF41_.wvu.FilterData" localSheetId="0" hidden="1">' внеочер. февраль'!$A$9:$F$1649</definedName>
    <definedName name="Z_C135D33B_6B54_492B_9C87_D27AA7FD259A_.wvu.FilterData" localSheetId="0" hidden="1">' внеочер. февраль'!$A$10:$O$1649</definedName>
    <definedName name="Z_C1B2C111_FBDA_4179_93C6_E6C1EF77089E_.wvu.FilterData" localSheetId="0" hidden="1">' внеочер. февраль'!$A$9:$F$1649</definedName>
    <definedName name="Z_C348BB01_AE4E_4170_AE01_34752EC4C2E1_.wvu.FilterData" localSheetId="0" hidden="1">' внеочер. февраль'!$A$9:$F$1648</definedName>
    <definedName name="Z_C3C3F98D_D87D_43FF_8EF2_1CD2DF54BFB1_.wvu.FilterData" localSheetId="0" hidden="1">' внеочер. февраль'!$A$10:$N$1648</definedName>
    <definedName name="Z_C3E7DE2A_9585_4827_A9A1_BA77D68CE4B5_.wvu.FilterData" localSheetId="0" hidden="1">' внеочер. февраль'!$A$10:$N$1648</definedName>
    <definedName name="Z_C3F0B287_CDD3_44BD_9118_7A4C8F854CFB_.wvu.FilterData" localSheetId="0" hidden="1">' внеочер. февраль'!$A$10:$O$1649</definedName>
    <definedName name="Z_C4241D16_C4D7_4392_91A1_929323E705AE_.wvu.FilterData" localSheetId="0" hidden="1">' внеочер. февраль'!$A$9:$N$1649</definedName>
    <definedName name="Z_C5199657_CA3A_447C_9D05_19734935354B_.wvu.FilterData" localSheetId="0" hidden="1">' внеочер. февраль'!$A$10:$P$1649</definedName>
    <definedName name="Z_C51A3551_F6D9_4659_84D4_6341A1681BEA_.wvu.FilterData" localSheetId="0" hidden="1">' внеочер. февраль'!$A$10:$N$1648</definedName>
    <definedName name="Z_C54A87AE_0E13_4D1B_A311_747DFB5C2AC9_.wvu.FilterData" localSheetId="0" hidden="1">' внеочер. февраль'!$A$10:$F$1649</definedName>
    <definedName name="Z_C5C3562D_6D56_4CF6_99FC_D91501D2118D_.wvu.FilterData" localSheetId="0" hidden="1">' внеочер. февраль'!$A$10:$F$1649</definedName>
    <definedName name="Z_C6E6AE26_F7DF_4329_A2B2_96F8E2087573_.wvu.FilterData" localSheetId="0" hidden="1">' внеочер. февраль'!$A$9:$F$1648</definedName>
    <definedName name="Z_C6E98E71_9672_4EBD_A617_B02285AB0F43_.wvu.FilterData" localSheetId="0" hidden="1">' внеочер. февраль'!$A$10:$N$1648</definedName>
    <definedName name="Z_C7144189_A49B_4031_9EBC_0FD1696D041A_.wvu.FilterData" localSheetId="0" hidden="1">' внеочер. февраль'!$A$9:$F$1648</definedName>
    <definedName name="Z_C7A0291D_52FA_4E5B_B171_DD0B5AB4E6EB_.wvu.FilterData" localSheetId="0" hidden="1">' внеочер. февраль'!$A$10:$P$1648</definedName>
    <definedName name="Z_C7AADE2C_1D22_45F7_94F7_7DC064534A71_.wvu.FilterData" localSheetId="0" hidden="1">' внеочер. февраль'!$A$10:$P$1648</definedName>
    <definedName name="Z_C7D33E5D_F302_4F22_8EEA_A9E9167B0941_.wvu.FilterData" localSheetId="0" hidden="1">' внеочер. февраль'!$A$10:$N$1649</definedName>
    <definedName name="Z_C92B00E8_4635_4BE5_A61D_815943E71143_.wvu.FilterData" localSheetId="0" hidden="1">' внеочер. февраль'!$A$10:$N$1648</definedName>
    <definedName name="Z_C9EB95D3_BD41_40BE_AEB0_7DD13AA694FF_.wvu.FilterData" localSheetId="0" hidden="1">' внеочер. февраль'!$A$10:$N$1648</definedName>
    <definedName name="Z_CA1A0C14_ACB1_4CA6_88C2_58D627343654_.wvu.FilterData" localSheetId="0" hidden="1">' внеочер. февраль'!$A$9:$F$1649</definedName>
    <definedName name="Z_CA2C1D6A_29B1_4648_9A15_3EA8CA467A36_.wvu.FilterData" localSheetId="0" hidden="1">' внеочер. февраль'!$A$10:$N$1648</definedName>
    <definedName name="Z_CA43FFA0_D8DE_486C_923A_FD05FE06C14D_.wvu.FilterData" localSheetId="0" hidden="1">' внеочер. февраль'!$A$9:$N$1649</definedName>
    <definedName name="Z_CAAEC1CE_0CF4_48A5_9243_585D5D9EAAAC_.wvu.FilterData" localSheetId="0" hidden="1">' внеочер. февраль'!$A$9:$F$1649</definedName>
    <definedName name="Z_CAD2391A_DABA_4C28_BC8F_3A281F3D6F15_.wvu.FilterData" localSheetId="0" hidden="1">' внеочер. февраль'!$A$9:$F$1648</definedName>
    <definedName name="Z_CB9F14EB_372F_497D_A25C_0D0F35F62639_.wvu.FilterData" localSheetId="0" hidden="1">' внеочер. февраль'!$A$10:$O$1649</definedName>
    <definedName name="Z_CBEE1275_C075_4968_9A63_537EB91389FD_.wvu.FilterData" localSheetId="0" hidden="1">' внеочер. февраль'!$A$10:$O$1649</definedName>
    <definedName name="Z_CCBC21FB_F8F4_4B4C_9E17_700D9BA32560_.wvu.FilterData" localSheetId="0" hidden="1">' внеочер. февраль'!$A$9:$N$1648</definedName>
    <definedName name="Z_CD039F48_66B4_4B60_A84D_534995235BA0_.wvu.FilterData" localSheetId="0" hidden="1">' внеочер. февраль'!$A$10:$F$1649</definedName>
    <definedName name="Z_CD344524_1E06_472C_8A87_25D09D3E69AA_.wvu.FilterData" localSheetId="0" hidden="1">' внеочер. февраль'!$A$9:$N$1649</definedName>
    <definedName name="Z_CE7B9ADF_2EAF_4A53_8925_B5093B53CFE2_.wvu.FilterData" localSheetId="0" hidden="1">' внеочер. февраль'!$A$10:$P$1648</definedName>
    <definedName name="Z_CF3071CE_CD87_4228_BA69_16CD5451E375_.wvu.FilterData" localSheetId="0" hidden="1">' внеочер. февраль'!$A$10:$P$1648</definedName>
    <definedName name="Z_CF45963C_E86B_4578_BB5D_EF3586715E04_.wvu.FilterData" localSheetId="0" hidden="1">' внеочер. февраль'!$A$9:$F$1648</definedName>
    <definedName name="Z_CF543E35_6E4E_45C4_BEB3_5047D0A6ECBE_.wvu.FilterData" localSheetId="0" hidden="1">' внеочер. февраль'!$A$10:$N$1649</definedName>
    <definedName name="Z_CF7D559D_0166_4787_B1BA_841D705C6F88_.wvu.FilterData" localSheetId="0" hidden="1">' внеочер. февраль'!$A$10:$O$1649</definedName>
    <definedName name="Z_CF7D559D_0166_4787_B1BA_841D705C6F88_.wvu.PrintArea" localSheetId="0" hidden="1">' внеочер. февраль'!$A$6:$F$1648</definedName>
    <definedName name="Z_CF7D559D_0166_4787_B1BA_841D705C6F88_.wvu.PrintTitles" localSheetId="0" hidden="1">' внеочер. февраль'!$9:$10</definedName>
    <definedName name="Z_CFC9DDBD_B0CD_4C23_B624_B7D9F7D35390_.wvu.FilterData" localSheetId="0" hidden="1">' внеочер. февраль'!$A$10:$N$1649</definedName>
    <definedName name="Z_D060DB0A_B871_407A_96BF_554036882A14_.wvu.FilterData" localSheetId="0" hidden="1">' внеочер. февраль'!$A$9:$N$1649</definedName>
    <definedName name="Z_D1021328_3FF8_4658_BD7D_DE568998115C_.wvu.FilterData" localSheetId="0" hidden="1">' внеочер. февраль'!$A$10:$P$1649</definedName>
    <definedName name="Z_D10964A7_BE0D_4510_9860_997EE34A103B_.wvu.FilterData" localSheetId="0" hidden="1">' внеочер. февраль'!$A$9:$F$1649</definedName>
    <definedName name="Z_D16CCC42_2450_465A_BD67_1B582B8CB2C1_.wvu.FilterData" localSheetId="0" hidden="1">' внеочер. февраль'!$A$10:$N$1648</definedName>
    <definedName name="Z_D1E4F801_DF7C_4A81_93C7_86AB458C97DD_.wvu.FilterData" localSheetId="0" hidden="1">' внеочер. февраль'!$A$10:$N$1649</definedName>
    <definedName name="Z_D326BC16_B8CA_40F0_B2A8_C510044A36E6_.wvu.FilterData" localSheetId="0" hidden="1">' внеочер. февраль'!$A$10:$P$1648</definedName>
    <definedName name="Z_D326BC16_B8CA_40F0_B2A8_C510044A36E6_.wvu.PrintArea" localSheetId="0" hidden="1">' внеочер. февраль'!$A$7:$F$1649</definedName>
    <definedName name="Z_D39CDB8F_9E32_4EE0_B245_45454ECC49B0_.wvu.FilterData" localSheetId="0" hidden="1">' внеочер. февраль'!$A$9:$F$1648</definedName>
    <definedName name="Z_D3BC4AEA_4BB6_4A29_9F8C_D7ED3DD6F591_.wvu.FilterData" localSheetId="0" hidden="1">' внеочер. февраль'!$A$10:$N$1649</definedName>
    <definedName name="Z_D4FB422F_E8D0_4AD2_A709_0F81F359DDF7_.wvu.FilterData" localSheetId="0" hidden="1">' внеочер. февраль'!$A$10:$O$1649</definedName>
    <definedName name="Z_D5269353_3B48_43A9_A1D9_B93FBCA4B23C_.wvu.FilterData" localSheetId="0" hidden="1">' внеочер. февраль'!$A$9:$F$1648</definedName>
    <definedName name="Z_D5E3F5F7_CCDD_4688_8DEF_97F3049AEC05_.wvu.FilterData" localSheetId="0" hidden="1">' внеочер. февраль'!$A$10:$N$1648</definedName>
    <definedName name="Z_D65BF6DB_C8D5_47CE_BDB7_2242627357D2_.wvu.FilterData" localSheetId="0" hidden="1">' внеочер. февраль'!$A$10:$F$1649</definedName>
    <definedName name="Z_D6A17652_BC73_448D_99E7_B9F71C5FBE3A_.wvu.FilterData" localSheetId="0" hidden="1">' внеочер. февраль'!$A$9:$F$1648</definedName>
    <definedName name="Z_D6B0E368_D4B8_4BBC_B67F_EB31731FBF8E_.wvu.FilterData" localSheetId="0" hidden="1">' внеочер. февраль'!$A$9:$F$1648</definedName>
    <definedName name="Z_D935855B_AEE9_4D6B_BF08_6AC99BED55D0_.wvu.FilterData" localSheetId="0" hidden="1">' внеочер. февраль'!$A$9:$N$1648</definedName>
    <definedName name="Z_D9CE7AFE_FE5F_4750_B194_31DFFB357BCD_.wvu.FilterData" localSheetId="0" hidden="1">' внеочер. февраль'!$A$9:$F$1648</definedName>
    <definedName name="Z_DA966EDD_9F31_4261_B2E2_B8D82EED1A96_.wvu.FilterData" localSheetId="0" hidden="1">' внеочер. февраль'!$A$9:$F$1649</definedName>
    <definedName name="Z_DB17DED7_564D_4848_B953_947744EFEEA3_.wvu.FilterData" localSheetId="0" hidden="1">' внеочер. февраль'!$A$9:$N$1649</definedName>
    <definedName name="Z_DBB724C4_8AF9_4355_B946_E8B593AF8039_.wvu.FilterData" localSheetId="0" hidden="1">' внеочер. февраль'!$A$9:$F$1648</definedName>
    <definedName name="Z_DC1C661E_E5B0_4C3B_871A_895363D37FC9_.wvu.FilterData" localSheetId="0" hidden="1">' внеочер. февраль'!$A$10:$O$1649</definedName>
    <definedName name="Z_DC38FB82_9A5E_4091_995E_30BBA3B96C63_.wvu.FilterData" localSheetId="0" hidden="1">' внеочер. февраль'!$A$9:$N$1649</definedName>
    <definedName name="Z_DCCD5763_8BA2_4026_A776_142FB3838DF7_.wvu.FilterData" localSheetId="0" hidden="1">' внеочер. февраль'!$A$9:$F$1648</definedName>
    <definedName name="Z_DCD48DF5_2C05_4499_B891_CF5D20792F49_.wvu.FilterData" localSheetId="0" hidden="1">' внеочер. февраль'!$A$10:$N$1648</definedName>
    <definedName name="Z_DCDDB578_1F86_4D38_8BF7_7C7F1052F07B_.wvu.FilterData" localSheetId="0" hidden="1">' внеочер. февраль'!$A$10:$N$1648</definedName>
    <definedName name="Z_DD6CEA08_4BC6_4831_B681_E41B17469DE6_.wvu.FilterData" localSheetId="0" hidden="1">' внеочер. февраль'!$A$10:$N$1648</definedName>
    <definedName name="Z_DD905316_163A_4602_A937_462F3621EB16_.wvu.FilterData" localSheetId="0" hidden="1">' внеочер. февраль'!$A$10:$F$1649</definedName>
    <definedName name="Z_DDA0C7FD_1D8F_4C2B_91FB_690E0359C4C9_.wvu.FilterData" localSheetId="0" hidden="1">' внеочер. февраль'!$A$10:$O$1649</definedName>
    <definedName name="Z_DDE2AC29_76F9_4144_9418_9C83100ACD86_.wvu.FilterData" localSheetId="0" hidden="1">' внеочер. февраль'!$A$10:$O$1649</definedName>
    <definedName name="Z_DE5CD706_7917_4E9C_902B_A63C1369289C_.wvu.FilterData" localSheetId="0" hidden="1">' внеочер. февраль'!$A$9:$N$1649</definedName>
    <definedName name="Z_DEC0438C_8CAC_4B90_A6DA_9407B02C79BA_.wvu.FilterData" localSheetId="0" hidden="1">' внеочер. февраль'!$A$10:$N$1648</definedName>
    <definedName name="Z_DF047D43_EE79_4159_8E7A_189F258DA7AC_.wvu.FilterData" localSheetId="0" hidden="1">' внеочер. февраль'!$A$9:$N$1649</definedName>
    <definedName name="Z_DF09BF6A_C029_4940_BA16_5BE9E2AECF82_.wvu.FilterData" localSheetId="0" hidden="1">' внеочер. февраль'!$A$10:$N$1648</definedName>
    <definedName name="Z_DF09BF6A_C029_4940_BA16_5BE9E2AECF82_.wvu.PrintArea" localSheetId="0" hidden="1">' внеочер. февраль'!$A$7:$F$1648</definedName>
    <definedName name="Z_DF3ABD56_96F7_4DD7_B7C5_9062C1897048_.wvu.FilterData" localSheetId="0" hidden="1">' внеочер. февраль'!$A$10:$P$1649</definedName>
    <definedName name="Z_DFE104BC_80FE_4B01_9AEA_010D3F61C917_.wvu.FilterData" localSheetId="0" hidden="1">' внеочер. февраль'!$A$10:$N$1648</definedName>
    <definedName name="Z_E01661C3_B64A_4491_A0AA_C607307B0C17_.wvu.FilterData" localSheetId="0" hidden="1">' внеочер. февраль'!$A$9:$F$1648</definedName>
    <definedName name="Z_E077144D_97BF_403C_8463_81A5C036649E_.wvu.FilterData" localSheetId="0" hidden="1">' внеочер. февраль'!$A$10:$P$1649</definedName>
    <definedName name="Z_E0ADF9C0_539F_4877_A368_ABEFE7C18069_.wvu.FilterData" localSheetId="0" hidden="1">' внеочер. февраль'!$A$9:$P$1648</definedName>
    <definedName name="Z_E11A8E5F_9C48_41B4_8F45_EADE8811DC64_.wvu.FilterData" localSheetId="0" hidden="1">' внеочер. февраль'!$A$10:$N$1648</definedName>
    <definedName name="Z_E12F0ED7_13A8_44BB_A836_A7FFFC5B807C_.wvu.FilterData" localSheetId="0" hidden="1">' внеочер. февраль'!$A$9:$N$1649</definedName>
    <definedName name="Z_E135932B_811A_4AC7_813B_7D81B1BEE450_.wvu.FilterData" localSheetId="0" hidden="1">' внеочер. февраль'!$A$10:$N$1649</definedName>
    <definedName name="Z_E217043A_9B07_4F5E_A008_E917CD1E2598_.wvu.FilterData" localSheetId="0" hidden="1">' внеочер. февраль'!$A$10:$P$1649</definedName>
    <definedName name="Z_E3435A3B_7A01_43F5_A20B_4FB152BDCA29_.wvu.FilterData" localSheetId="0" hidden="1">' внеочер. февраль'!$A$9:$F$1648</definedName>
    <definedName name="Z_E3CFB8E7_5D20_4546_8D69_259ABD891F8E_.wvu.FilterData" localSheetId="0" hidden="1">' внеочер. февраль'!$A$10:$N$1648</definedName>
    <definedName name="Z_E4630CDC_6A09_418C_A9E3_6E879724388C_.wvu.FilterData" localSheetId="0" hidden="1">' внеочер. февраль'!$A$10:$O$1649</definedName>
    <definedName name="Z_E4BB4D65_5BE7_4703_838C_B8C973846FCE_.wvu.FilterData" localSheetId="0" hidden="1">' внеочер. февраль'!$A$10:$N$1648</definedName>
    <definedName name="Z_E5123261_833D_4363_870E_66B24F434B80_.wvu.FilterData" localSheetId="0" hidden="1">' внеочер. февраль'!$A$10:$O$1649</definedName>
    <definedName name="Z_E56DA340_D702_4432_994C_37A2CF920E37_.wvu.FilterData" localSheetId="0" hidden="1">' внеочер. февраль'!$A$10:$P$1648</definedName>
    <definedName name="Z_E5ADCC4F_BBA7_40D6_9988_C94B2310828A_.wvu.FilterData" localSheetId="0" hidden="1">' внеочер. февраль'!$A$9:$P$1648</definedName>
    <definedName name="Z_E65B5D5F_CB7A_4100_BC5C_84BF501F4962_.wvu.FilterData" localSheetId="0" hidden="1">' внеочер. февраль'!$A$10:$O$1649</definedName>
    <definedName name="Z_E65B5D5F_CB7A_4100_BC5C_84BF501F4962_.wvu.PrintArea" localSheetId="0" hidden="1">' внеочер. февраль'!$A$6:$F$1648</definedName>
    <definedName name="Z_E65B5D5F_CB7A_4100_BC5C_84BF501F4962_.wvu.PrintTitles" localSheetId="0" hidden="1">' внеочер. февраль'!$9:$10</definedName>
    <definedName name="Z_E6A2DBE8_502A_4ACC_82DD_77EAB373BBB4_.wvu.FilterData" localSheetId="0" hidden="1">' внеочер. февраль'!$A$9:$N$1649</definedName>
    <definedName name="Z_E7A199EB_1312_43E9_A2AF_F382333C85EB_.wvu.FilterData" localSheetId="0" hidden="1">' внеочер. февраль'!$A$9:$F$1648</definedName>
    <definedName name="Z_E7F712C6_DE03_498A_A508_71E2A433AFD8_.wvu.FilterData" localSheetId="0" hidden="1">' внеочер. февраль'!$A$10:$N$1648</definedName>
    <definedName name="Z_E8B8B0DF_482F_4867_B8DD_DD33AE20E166_.wvu.FilterData" localSheetId="0" hidden="1">' внеочер. февраль'!$A$9:$N$1649</definedName>
    <definedName name="Z_E8E3CC46_0B04_48D8_B1CA_09E3954C96AF_.wvu.FilterData" localSheetId="0" hidden="1">' внеочер. февраль'!$A$10:$N$1648</definedName>
    <definedName name="Z_E8F57159_0755_4EAA_9AE1_B383A28DC352_.wvu.FilterData" localSheetId="0" hidden="1">' внеочер. февраль'!$A$9:$N$1649</definedName>
    <definedName name="Z_E8FD3621_FBC6_4B2D_91E3_40E11DF3FE54_.wvu.FilterData" localSheetId="0" hidden="1">' внеочер. февраль'!$A$10:$N$1648</definedName>
    <definedName name="Z_E91A3C82_17DD_4312_B896_C61EFD92BB7B_.wvu.FilterData" localSheetId="0" hidden="1">' внеочер. февраль'!$A$9:$N$1649</definedName>
    <definedName name="Z_EA1FDA31_9147_4A17_BAAB_8E3F8FE4736C_.wvu.FilterData" localSheetId="0" hidden="1">' внеочер. февраль'!$A$10:$N$1648</definedName>
    <definedName name="Z_EAD72E9C_A670_4A61_9552_84F460CDCA4D_.wvu.FilterData" localSheetId="0" hidden="1">' внеочер. февраль'!$A$10:$O$1649</definedName>
    <definedName name="Z_ECD56CDB_9460_44C4_BEA9_F9DBD1E47118_.wvu.FilterData" localSheetId="0" hidden="1">' внеочер. февраль'!$A$9:$F$1648</definedName>
    <definedName name="Z_ED600628_3FD8_469F_80E2_41ECE9298F60_.wvu.FilterData" localSheetId="0" hidden="1">' внеочер. февраль'!$A$9:$F$1648</definedName>
    <definedName name="Z_ED93AD50_4BAE_47E2_94EF_EFA5B6EDBEEC_.wvu.FilterData" localSheetId="0" hidden="1">' внеочер. февраль'!$A$10:$P$1648</definedName>
    <definedName name="Z_EE5BA679_3240_4B79_9B98_3F5AC4947088_.wvu.FilterData" localSheetId="0" hidden="1">' внеочер. февраль'!$A$9:$F$1648</definedName>
    <definedName name="Z_EEFEC4CC_22CE_4D09_A65B_E3AF53E7BD07_.wvu.FilterData" localSheetId="0" hidden="1">' внеочер. февраль'!$A$9:$N$1649</definedName>
    <definedName name="Z_EF39900B_41FE_4F72_A539_EEFCF09BE4BF_.wvu.FilterData" localSheetId="0" hidden="1">' внеочер. февраль'!$A$9:$N$1649</definedName>
    <definedName name="Z_F083A337_B8DF_41CD_9EE7_F11C6C9353D7_.wvu.FilterData" localSheetId="0" hidden="1">' внеочер. февраль'!$A$10:$N$1648</definedName>
    <definedName name="Z_F209B7E1_C646_4C0F_8D44_35C8CB121108_.wvu.FilterData" localSheetId="0" hidden="1">' внеочер. февраль'!$A$10:$N$1648</definedName>
    <definedName name="Z_F37878E9_6676_4E63_AE71_BFD9E251E980_.wvu.FilterData" localSheetId="0" hidden="1">' внеочер. февраль'!$A$10:$P$1649</definedName>
    <definedName name="Z_F3C92022_7253_4AFF_88F5_56DDB0D45948_.wvu.FilterData" localSheetId="0" hidden="1">' внеочер. февраль'!$A$10:$N$1648</definedName>
    <definedName name="Z_F3C92022_7253_4AFF_88F5_56DDB0D45948_.wvu.PrintArea" localSheetId="0" hidden="1">' внеочер. февраль'!$A$7:$F$1649</definedName>
    <definedName name="Z_F4139497_4239_4CEE_B140_EAB04D984C30_.wvu.FilterData" localSheetId="0" hidden="1">' внеочер. февраль'!$A$9:$F$1649</definedName>
    <definedName name="Z_F41A2EAF_F07F_4824_A5CF_C11C9E3D3419_.wvu.FilterData" localSheetId="0" hidden="1">' внеочер. февраль'!$A$10:$N$1649</definedName>
    <definedName name="Z_F4391D66_8137_47E7_9257_D4F841664D4A_.wvu.FilterData" localSheetId="0" hidden="1">' внеочер. февраль'!$A$9:$F$1648</definedName>
    <definedName name="Z_F487DE39_6009_423A_9867_28B7F04F1285_.wvu.FilterData" localSheetId="0" hidden="1">' внеочер. февраль'!$A$10:$O$1649</definedName>
    <definedName name="Z_F4CE6C5B_B59B_49D1_B0AE_088AD2AB6B00_.wvu.FilterData" localSheetId="0" hidden="1">' внеочер. февраль'!$A$9:$F$1648</definedName>
    <definedName name="Z_F5458028_28BD_47CF_9AD3_44F6AAC38EE8_.wvu.FilterData" localSheetId="0" hidden="1">' внеочер. февраль'!$A$10:$F$1649</definedName>
    <definedName name="Z_F56CEA4B_0A4E_4306_96C0_9E1DD644BBB5_.wvu.FilterData" localSheetId="0" hidden="1">' внеочер. февраль'!$A$9:$F$1648</definedName>
    <definedName name="Z_F58FCEBD_76DD_4CC5_A4E4_A7C083437B6E_.wvu.FilterData" localSheetId="0" hidden="1">' внеочер. февраль'!$A$9:$F$1648</definedName>
    <definedName name="Z_F59F9BEF_965D_4718_B9B1_95625B0AFE0D_.wvu.FilterData" localSheetId="0" hidden="1">' внеочер. февраль'!$A$10:$O$1649</definedName>
    <definedName name="Z_F648484B_1AF6_45CF_82EE_894F3FB508E3_.wvu.FilterData" localSheetId="0" hidden="1">' внеочер. февраль'!$A$10:$N$1648</definedName>
    <definedName name="Z_F6BCA87E_1E53_49E6_869D_053EEF77AD92_.wvu.FilterData" localSheetId="0" hidden="1">' внеочер. февраль'!$A$10:$F$1649</definedName>
    <definedName name="Z_F713ADE6_6D5C_4BFF_8ABB_EAA6A61FFAB7_.wvu.FilterData" localSheetId="0" hidden="1">' внеочер. февраль'!$A$10:$O$1649</definedName>
    <definedName name="Z_F7ECAE4E_FB2A_42BE_90C7_9586765F1820_.wvu.FilterData" localSheetId="0" hidden="1">' внеочер. февраль'!$A$9:$F$1648</definedName>
    <definedName name="Z_F83D905C_D4B0_4992_AECD_B05632FC2675_.wvu.FilterData" localSheetId="0" hidden="1">' внеочер. февраль'!$A$10:$N$1648</definedName>
    <definedName name="Z_F83D905C_D4B0_4992_AECD_B05632FC2675_.wvu.PrintArea" localSheetId="0" hidden="1">' внеочер. февраль'!$A$7:$F$1649</definedName>
    <definedName name="Z_F85AD8D0_07B8_4C06_BE8C_89021594401A_.wvu.FilterData" localSheetId="0" hidden="1">' внеочер. февраль'!$A$10:$N$1648</definedName>
    <definedName name="Z_F85AD8D0_07B8_4C06_BE8C_89021594401A_.wvu.PrintArea" localSheetId="0" hidden="1">' внеочер. февраль'!$A$7:$F$1649</definedName>
    <definedName name="Z_F8AAEE4B_6BD7_4AFE_8AF4_21E346CBFD26_.wvu.FilterData" localSheetId="0" hidden="1">' внеочер. февраль'!$A$10:$N$1648</definedName>
    <definedName name="Z_F8B2ACBC_7990_402F_B758_74EC074E8354_.wvu.FilterData" localSheetId="0" hidden="1">' внеочер. февраль'!$A$9:$P$1648</definedName>
    <definedName name="Z_F9D3F0F8_7EB7_4897_9CF0_60CF321B3C91_.wvu.FilterData" localSheetId="0" hidden="1">' внеочер. февраль'!$A$10:$N$1649</definedName>
    <definedName name="Z_F9E7FFD7_C585_4A7E_A193_0A8BAA3F3B08_.wvu.FilterData" localSheetId="0" hidden="1">' внеочер. февраль'!$A$9:$F$1648</definedName>
    <definedName name="Z_FA34839C_BFC1_43D3_94B6_A9B2CC935056_.wvu.FilterData" localSheetId="0" hidden="1">' внеочер. февраль'!$A$9:$F$1648</definedName>
    <definedName name="Z_FA93D3AF_025E_449C_B516_ABD678D55B04_.wvu.FilterData" localSheetId="0" hidden="1">' внеочер. февраль'!$A$9:$N$1649</definedName>
    <definedName name="Z_FB022C6C_74BC_41AD_A9C1_4261640EBB3F_.wvu.FilterData" localSheetId="0" hidden="1">' внеочер. февраль'!$A$9:$F$1648</definedName>
    <definedName name="Z_FB3993B4_E74D_484E_83E6_2D2E48358EBC_.wvu.FilterData" localSheetId="0" hidden="1">' внеочер. февраль'!$A$10:$N$1648</definedName>
    <definedName name="Z_FB3993B4_E74D_484E_83E6_2D2E48358EBC_.wvu.PrintArea" localSheetId="0" hidden="1">' внеочер. февраль'!$A$7:$F$1649</definedName>
    <definedName name="Z_FB406FF6_6188_47D2_A2FA_428F2B7C916F_.wvu.FilterData" localSheetId="0" hidden="1">' внеочер. февраль'!$A$10:$O$1649</definedName>
    <definedName name="Z_FB406FF6_6188_47D2_A2FA_428F2B7C916F_.wvu.PrintArea" localSheetId="0" hidden="1">' внеочер. февраль'!$A$6:$F$1648</definedName>
    <definedName name="Z_FB406FF6_6188_47D2_A2FA_428F2B7C916F_.wvu.PrintTitles" localSheetId="0" hidden="1">' внеочер. февраль'!$9:$10</definedName>
    <definedName name="Z_FB6BD76D_0D06_4A71_80F1_5B237D3436A1_.wvu.FilterData" localSheetId="0" hidden="1">' внеочер. февраль'!$A$10:$F$1649</definedName>
    <definedName name="Z_FB9AB192_4AC4_4E46_B642_3C2F1F269A02_.wvu.FilterData" localSheetId="0" hidden="1">' внеочер. февраль'!$A$9:$F$1648</definedName>
    <definedName name="Z_FBD551CE_1654_45EE_9ED6_7FBB4A4F9685_.wvu.FilterData" localSheetId="0" hidden="1">' внеочер. февраль'!$A$9:$N$1649</definedName>
    <definedName name="Z_FC601AF4_0BBC_4E69_BFF5_009376990EB5_.wvu.FilterData" localSheetId="0" hidden="1">' внеочер. февраль'!$A$10:$N$1648</definedName>
    <definedName name="Z_FC718BE3_32A2_43B6_AE3C_D4FE03ACF760_.wvu.FilterData" localSheetId="0" hidden="1">' внеочер. февраль'!$A$10:$P$1648</definedName>
    <definedName name="Z_FCD2D8AB_3301_4F3D_857D_86E594D264D5_.wvu.FilterData" localSheetId="0" hidden="1">' внеочер. февраль'!$A$9:$F$1649</definedName>
    <definedName name="Z_FD2742C4_CDFE_4E2F_A7B7_4520D03D0E84_.wvu.FilterData" localSheetId="0" hidden="1">' внеочер. февраль'!$A$10:$O$1649</definedName>
    <definedName name="Z_FDAA87FB_8D10_4BE3_8FD7_3DD29C9D3C32_.wvu.FilterData" localSheetId="0" hidden="1">' внеочер. февраль'!$A$10:$P$1648</definedName>
    <definedName name="Z_FDAA87FB_8D10_4BE3_8FD7_3DD29C9D3C32_.wvu.PrintArea" localSheetId="0" hidden="1">' внеочер. февраль'!$A$7:$F$1649</definedName>
    <definedName name="Z_FDC8044B_933B_4948_A968_7A946CE5CA88_.wvu.FilterData" localSheetId="0" hidden="1">' внеочер. февраль'!$A$10:$N$1649</definedName>
    <definedName name="Z_FE2E14EE_7758_4F05_BA63_03F7CB0FB4D7_.wvu.FilterData" localSheetId="0" hidden="1">' внеочер. февраль'!$A$10:$O$1649</definedName>
    <definedName name="Z_FE5A4646_1F82_478B_AB34_931BAD185684_.wvu.FilterData" localSheetId="0" hidden="1">' внеочер. февраль'!$A$10:$O$1649</definedName>
    <definedName name="Z_FE5A4646_1F82_478B_AB34_931BAD185684_.wvu.PrintArea" localSheetId="0" hidden="1">' внеочер. февраль'!$A$6:$F$1648</definedName>
    <definedName name="Z_FE5A4646_1F82_478B_AB34_931BAD185684_.wvu.PrintTitles" localSheetId="0" hidden="1">' внеочер. февраль'!$9:$10</definedName>
    <definedName name="Z_FE819273_8A08_4DDB_A86E_7DBB72C88BFF_.wvu.FilterData" localSheetId="0" hidden="1">' внеочер. февраль'!$A$10:$N$1648</definedName>
    <definedName name="Z_FF1D0353_73DB_48BD_B073_8AEFD263E676_.wvu.FilterData" localSheetId="0" hidden="1">' внеочер. февраль'!$A$9:$N$1649</definedName>
    <definedName name="Z_FF295D92_FD69_41E1_988C_36B3AF2CA753_.wvu.FilterData" localSheetId="0" hidden="1">' внеочер. февраль'!$A$10:$P$1649</definedName>
    <definedName name="Z_FF3EF6A8_736C_45A3_A8C5_2CF1C56DBEC9_.wvu.FilterData" localSheetId="0" hidden="1">' внеочер. февраль'!$A$9:$N$1649</definedName>
    <definedName name="_xlnm.Print_Titles" localSheetId="0">' внеочер. февраль'!$9:$10</definedName>
    <definedName name="_xlnm.Print_Area" localSheetId="0">' внеочер. февраль'!$A$1:$F$1648</definedName>
  </definedNames>
  <calcPr calcId="144525"/>
  <customWorkbookViews>
    <customWorkbookView name="Марина В. Цыбулина - Личное представление" guid="{36DCE0BA-3DAA-4D16-9A6C-D74D85939BC4}" mergeInterval="0" personalView="1" maximized="1" windowWidth="1676" windowHeight="832" activeSheetId="1"/>
    <customWorkbookView name="Оксана Д. Скрябина - Личное представление" guid="{9AAB4CD6-CA02-4F89-A251-5612382981E7}" mergeInterval="0" personalView="1" maximized="1" windowWidth="1902" windowHeight="842" activeSheetId="1"/>
    <customWorkbookView name="fin-4053 - Личное представление" guid="{A1566C65-087F-49E5-974A-3CF262DD7D96}" mergeInterval="0" personalView="1" maximized="1" xWindow="1" yWindow="1" windowWidth="1805" windowHeight="824" activeSheetId="1"/>
    <customWorkbookView name="Вишницкая Ольга Анатольевна - Личное представление" guid="{1CE5A45D-2312-4713-A5DC-016ED1C7E17E}" mergeInterval="0" personalView="1" maximized="1" windowWidth="1916" windowHeight="754" activeSheetId="1"/>
    <customWorkbookView name="Константин А. Бобылев - Личное представление" guid="{219F7EAD-D730-4D71-9324-77D1678FEC49}" mergeInterval="0" personalView="1" maximized="1" windowWidth="1916" windowHeight="834" activeSheetId="1"/>
    <customWorkbookView name="Наталья Н. Цвик - Личное представление" guid="{1663216F-E4C5-4B4E-838D-07E5C6B7FB5D}" mergeInterval="0" personalView="1" maximized="1" windowWidth="1916" windowHeight="794" activeSheetId="1"/>
    <customWorkbookView name="Ольга В. Гонтова - Личное представление" guid="{FE5A4646-1F82-478B-AB34-931BAD185684}" mergeInterval="0" personalView="1" maximized="1" windowWidth="1276" windowHeight="798" activeSheetId="1"/>
    <customWorkbookView name="Екатерина В. Баженова - Личное представление" guid="{8641C9CE-CF0B-47B3-96C3-90D4839F015C}" mergeInterval="0" personalView="1" maximized="1" windowWidth="1916" windowHeight="774" activeSheetId="1"/>
    <customWorkbookView name="Елена И. Комогорцева - Личное представление" guid="{74AAF578-B55E-4738-AF4B-ED62BC3A47E2}" mergeInterval="0" personalView="1" maximized="1" windowWidth="1596" windowHeight="894" activeSheetId="1"/>
    <customWorkbookView name="Виктория В. Москаленко - Личное представление" guid="{52C1FB92-7975-4D4D-BD0E-F9FFDD4E1D2C}" mergeInterval="0" personalView="1" maximized="1" windowWidth="1916" windowHeight="854" activeSheetId="1"/>
    <customWorkbookView name="Наталья А. Казакова - Личное представление" guid="{23190D58-ED44-4680-8F8F-13684B3D6CBA}" mergeInterval="0" personalView="1" maximized="1" windowWidth="1916" windowHeight="794" activeSheetId="1"/>
    <customWorkbookView name="Марина А. Степина - Личное представление" guid="{11E16761-BEF9-439A-9F0A-F2673EE84029}" mergeInterval="0" personalView="1" maximized="1" windowWidth="1916" windowHeight="854" activeSheetId="1"/>
    <customWorkbookView name="fin-4072 - Личное представление" guid="{0DC0876A-D363-445D-8940-67F6A8466847}" mergeInterval="0" personalView="1" maximized="1" xWindow="1" yWindow="1" windowWidth="1920" windowHeight="850" activeSheetId="1"/>
    <customWorkbookView name="Юлия Александровна Федчук - Личное представление" guid="{FB406FF6-6188-47D2-A2FA-428F2B7C916F}" mergeInterval="0" personalView="1" maximized="1" windowWidth="1916" windowHeight="854" activeSheetId="1"/>
    <customWorkbookView name="Мария Л. Хегай - Личное представление" guid="{E65B5D5F-CB7A-4100-BC5C-84BF501F4962}" mergeInterval="0" personalView="1" maximized="1" windowWidth="1916" windowHeight="814" activeSheetId="1"/>
    <customWorkbookView name="Ольга С. Цыганова - Личное представление" guid="{CF7D559D-0166-4787-B1BA-841D705C6F88}" mergeInterval="0" personalView="1" maximized="1" windowWidth="1916" windowHeight="814" activeSheetId="1"/>
    <customWorkbookView name="Людмила В. Латышева - Личное представление" guid="{7893FC3C-95F8-4D88-923A-D8B3F348D1CF}" mergeInterval="0" personalView="1" maximized="1" windowWidth="1916" windowHeight="834" activeSheetId="1"/>
    <customWorkbookView name="Людмила Л. Панова - Личное представление" guid="{A6AD508C-AEED-43C7-976B-DD33C28CD830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F184" i="1" l="1"/>
  <c r="F1235" i="1" l="1"/>
  <c r="F810" i="1" l="1"/>
  <c r="F809" i="1"/>
  <c r="F181" i="1"/>
  <c r="F180" i="1"/>
  <c r="F380" i="1"/>
  <c r="F371" i="1"/>
  <c r="F1276" i="1"/>
  <c r="F1421" i="1"/>
  <c r="F1409" i="1"/>
  <c r="F1394" i="1"/>
  <c r="F637" i="1"/>
  <c r="F634" i="1"/>
  <c r="F370" i="1" l="1"/>
  <c r="F1417" i="1"/>
  <c r="F414" i="1" l="1"/>
  <c r="F656" i="1"/>
  <c r="F403" i="1"/>
  <c r="F169" i="1"/>
  <c r="F636" i="1"/>
  <c r="F633" i="1"/>
  <c r="F452" i="1"/>
  <c r="F426" i="1"/>
  <c r="F436" i="1"/>
  <c r="F435" i="1" s="1"/>
  <c r="F423" i="1"/>
  <c r="F477" i="1" l="1"/>
  <c r="F490" i="1"/>
  <c r="F484" i="1"/>
  <c r="F1488" i="1"/>
  <c r="F496" i="1"/>
  <c r="F405" i="1"/>
  <c r="F393" i="1"/>
  <c r="F416" i="1"/>
  <c r="F487" i="1"/>
  <c r="F482" i="1"/>
  <c r="F466" i="1" l="1"/>
  <c r="F1613" i="1"/>
  <c r="F1622" i="1"/>
  <c r="F64" i="1"/>
  <c r="F1558" i="1"/>
  <c r="F1552" i="1"/>
  <c r="F1551" i="1"/>
  <c r="F734" i="1"/>
  <c r="F599" i="1"/>
  <c r="F598" i="1" s="1"/>
  <c r="F554" i="1"/>
  <c r="F596" i="1"/>
  <c r="F581" i="1"/>
  <c r="F597" i="1" l="1"/>
  <c r="F613" i="1"/>
  <c r="F612" i="1" s="1"/>
  <c r="F611" i="1" s="1"/>
  <c r="F1621" i="1"/>
  <c r="F1585" i="1"/>
  <c r="F153" i="1"/>
  <c r="F146" i="1"/>
  <c r="F670" i="1"/>
  <c r="F1178" i="1"/>
  <c r="F1181" i="1"/>
  <c r="F1180" i="1" s="1"/>
  <c r="F1179" i="1" s="1"/>
  <c r="F278" i="1"/>
  <c r="F176" i="1"/>
  <c r="F157" i="1"/>
  <c r="F1244" i="1"/>
  <c r="F1243" i="1" s="1"/>
  <c r="F1242" i="1"/>
  <c r="F1241" i="1"/>
  <c r="F1171" i="1"/>
  <c r="F1170" i="1" s="1"/>
  <c r="F1166" i="1"/>
  <c r="F1165" i="1" s="1"/>
  <c r="F267" i="1"/>
  <c r="F1233" i="1"/>
  <c r="F1232" i="1"/>
  <c r="F1229" i="1"/>
  <c r="F1226" i="1"/>
  <c r="F1531" i="1"/>
  <c r="F1534" i="1"/>
  <c r="F1194" i="1"/>
  <c r="F832" i="1"/>
  <c r="F831" i="1" s="1"/>
  <c r="F830" i="1" s="1"/>
  <c r="F829" i="1" s="1"/>
  <c r="F828" i="1" s="1"/>
  <c r="F827" i="1" s="1"/>
  <c r="F1201" i="1"/>
  <c r="F1200" i="1" s="1"/>
  <c r="F1199" i="1" s="1"/>
  <c r="F1198" i="1" s="1"/>
  <c r="F1197" i="1" s="1"/>
  <c r="F1252" i="1"/>
  <c r="F795" i="1"/>
  <c r="F322" i="1"/>
  <c r="F321" i="1"/>
  <c r="F320" i="1" s="1"/>
  <c r="F319" i="1" s="1"/>
  <c r="F232" i="1"/>
  <c r="F96" i="1"/>
  <c r="F229" i="1"/>
  <c r="F728" i="1"/>
  <c r="F1281" i="1"/>
  <c r="F1288" i="1"/>
  <c r="F1493" i="1"/>
  <c r="F1640" i="1"/>
  <c r="F1647" i="1"/>
  <c r="F804" i="1"/>
  <c r="F800" i="1"/>
  <c r="F764" i="1"/>
  <c r="F30" i="1"/>
  <c r="F24" i="1"/>
  <c r="F364" i="1"/>
  <c r="F366" i="1"/>
  <c r="F296" i="1"/>
  <c r="F288" i="1"/>
  <c r="F286" i="1"/>
  <c r="F284" i="1"/>
  <c r="F308" i="1"/>
  <c r="F307" i="1" s="1"/>
  <c r="F434" i="1"/>
  <c r="F431" i="1"/>
  <c r="F312" i="1"/>
  <c r="F310" i="1"/>
  <c r="F915" i="1"/>
  <c r="F914" i="1"/>
  <c r="F906" i="1"/>
  <c r="F905" i="1"/>
  <c r="F876" i="1"/>
  <c r="F875" i="1"/>
  <c r="F440" i="1"/>
  <c r="F439" i="1" s="1"/>
  <c r="F294" i="1"/>
  <c r="F962" i="1"/>
  <c r="F961" i="1"/>
  <c r="F930" i="1"/>
  <c r="F848" i="1"/>
  <c r="F847" i="1"/>
  <c r="F745" i="1"/>
  <c r="F744" i="1" s="1"/>
  <c r="F743" i="1" s="1"/>
  <c r="F742" i="1" s="1"/>
  <c r="F741" i="1" s="1"/>
  <c r="F740" i="1" s="1"/>
  <c r="F698" i="1"/>
  <c r="F970" i="1"/>
  <c r="F969" i="1" s="1"/>
  <c r="F968" i="1" s="1"/>
  <c r="F967" i="1" s="1"/>
  <c r="F966" i="1" s="1"/>
  <c r="F1434" i="1"/>
  <c r="F1331" i="1"/>
  <c r="F1330" i="1" s="1"/>
  <c r="F1328" i="1"/>
  <c r="F1326" i="1"/>
  <c r="F1433" i="1"/>
  <c r="F1431" i="1"/>
  <c r="F1099" i="1"/>
  <c r="F1050" i="1"/>
  <c r="F1045" i="1"/>
  <c r="F1501" i="1"/>
  <c r="F1428" i="1"/>
  <c r="F1404" i="1"/>
  <c r="F1395" i="1"/>
  <c r="F299" i="1"/>
  <c r="F297" i="1"/>
  <c r="F1392" i="1"/>
  <c r="F1058" i="1"/>
  <c r="F1563" i="1"/>
  <c r="F1562" i="1" s="1"/>
  <c r="F1561" i="1" s="1"/>
  <c r="F1560" i="1" s="1"/>
  <c r="F1559" i="1" s="1"/>
  <c r="F1568" i="1"/>
  <c r="F1567" i="1" s="1"/>
  <c r="F1631" i="1"/>
  <c r="F783" i="1"/>
  <c r="F782" i="1" s="1"/>
  <c r="F781" i="1" s="1"/>
  <c r="F780" i="1" s="1"/>
  <c r="F779" i="1" s="1"/>
  <c r="F778" i="1" s="1"/>
  <c r="F759" i="1"/>
  <c r="F1500" i="1" l="1"/>
  <c r="F1499" i="1" s="1"/>
  <c r="F1498" i="1" s="1"/>
  <c r="F1497" i="1" s="1"/>
  <c r="F1496" i="1" s="1"/>
  <c r="F438" i="1"/>
  <c r="F318" i="1"/>
  <c r="F1325" i="1"/>
  <c r="F1324" i="1" l="1"/>
  <c r="F1323" i="1" s="1"/>
  <c r="F1322" i="1" s="1"/>
  <c r="F230" i="1"/>
  <c r="F233" i="1"/>
  <c r="F217" i="1"/>
  <c r="F1507" i="1" l="1"/>
  <c r="F1506" i="1" s="1"/>
  <c r="F1505" i="1" s="1"/>
  <c r="F1504" i="1" s="1"/>
  <c r="F1503" i="1" s="1"/>
  <c r="F1502" i="1" s="1"/>
  <c r="F1483" i="1"/>
  <c r="F632" i="1"/>
  <c r="F112" i="1"/>
  <c r="F826" i="1"/>
  <c r="F692" i="1"/>
  <c r="F709" i="1"/>
  <c r="F723" i="1"/>
  <c r="F195" i="1" l="1"/>
  <c r="F194" i="1" l="1"/>
  <c r="F1475" i="1"/>
  <c r="F1474" i="1" s="1"/>
  <c r="F1458" i="1"/>
  <c r="F1456" i="1"/>
  <c r="F1452" i="1"/>
  <c r="F1450" i="1"/>
  <c r="F1447" i="1"/>
  <c r="F134" i="1" l="1"/>
  <c r="F517" i="1" l="1"/>
  <c r="F516" i="1" s="1"/>
  <c r="F515" i="1" s="1"/>
  <c r="F514" i="1" s="1"/>
  <c r="F506" i="1"/>
  <c r="F505" i="1" s="1"/>
  <c r="F504" i="1" s="1"/>
  <c r="F503" i="1" s="1"/>
  <c r="F502" i="1" s="1"/>
  <c r="F59" i="1"/>
  <c r="F58" i="1" s="1"/>
  <c r="F57" i="1" s="1"/>
  <c r="F56" i="1" s="1"/>
  <c r="F55" i="1" s="1"/>
  <c r="F103" i="1"/>
  <c r="F105" i="1"/>
  <c r="F281" i="1"/>
  <c r="F277" i="1"/>
  <c r="F501" i="1"/>
  <c r="F500" i="1" s="1"/>
  <c r="F54" i="1"/>
  <c r="F499" i="1" l="1"/>
  <c r="F498" i="1" s="1"/>
  <c r="F497" i="1" s="1"/>
  <c r="F1337" i="1" l="1"/>
  <c r="F531" i="1" l="1"/>
  <c r="F1052" i="1" l="1"/>
  <c r="F1051" i="1"/>
  <c r="F1364" i="1" l="1"/>
  <c r="F1359" i="1"/>
  <c r="F1354" i="1"/>
  <c r="F1351" i="1"/>
  <c r="F1348" i="1"/>
  <c r="F768" i="1" l="1"/>
  <c r="F679" i="1"/>
  <c r="F123" i="1"/>
  <c r="F170" i="1" l="1"/>
  <c r="F171" i="1"/>
  <c r="F661" i="1" l="1"/>
  <c r="F410" i="1"/>
  <c r="F316" i="1"/>
  <c r="F315" i="1" s="1"/>
  <c r="F314" i="1" s="1"/>
  <c r="F313" i="1" s="1"/>
  <c r="F326" i="1"/>
  <c r="F327" i="1"/>
  <c r="F650" i="1" l="1"/>
  <c r="F649" i="1" s="1"/>
  <c r="F311" i="1" l="1"/>
  <c r="F175" i="1" l="1"/>
  <c r="F174" i="1" s="1"/>
  <c r="F377" i="1" l="1"/>
  <c r="F912" i="1" l="1"/>
  <c r="F1646" i="1" l="1"/>
  <c r="F1639" i="1"/>
  <c r="F1638" i="1" s="1"/>
  <c r="F1636" i="1"/>
  <c r="F1634" i="1"/>
  <c r="F1630" i="1"/>
  <c r="F1628" i="1"/>
  <c r="F1623" i="1"/>
  <c r="F1618" i="1"/>
  <c r="F1616" i="1"/>
  <c r="F1614" i="1"/>
  <c r="F1612" i="1"/>
  <c r="F1606" i="1"/>
  <c r="F1602" i="1"/>
  <c r="F1596" i="1"/>
  <c r="F1590" i="1"/>
  <c r="F1584" i="1"/>
  <c r="F1583" i="1" s="1"/>
  <c r="F1582" i="1" s="1"/>
  <c r="F1580" i="1"/>
  <c r="F1579" i="1" s="1"/>
  <c r="F1578" i="1" s="1"/>
  <c r="F1577" i="1" s="1"/>
  <c r="F1575" i="1"/>
  <c r="F1574" i="1" s="1"/>
  <c r="F1573" i="1" s="1"/>
  <c r="F1571" i="1"/>
  <c r="F1570" i="1" s="1"/>
  <c r="F1566" i="1" s="1"/>
  <c r="F1565" i="1" s="1"/>
  <c r="F1556" i="1"/>
  <c r="F1553" i="1"/>
  <c r="F1550" i="1"/>
  <c r="F1544" i="1"/>
  <c r="F1541" i="1"/>
  <c r="F1539" i="1"/>
  <c r="F1537" i="1"/>
  <c r="F1532" i="1"/>
  <c r="F1530" i="1"/>
  <c r="F1525" i="1"/>
  <c r="F1524" i="1" s="1"/>
  <c r="F1523" i="1" s="1"/>
  <c r="F1522" i="1" s="1"/>
  <c r="F1518" i="1"/>
  <c r="F1517" i="1" s="1"/>
  <c r="F1516" i="1" s="1"/>
  <c r="F1515" i="1" s="1"/>
  <c r="F1514" i="1" s="1"/>
  <c r="F1511" i="1"/>
  <c r="F1510" i="1" s="1"/>
  <c r="F1509" i="1" s="1"/>
  <c r="F1492" i="1"/>
  <c r="F1487" i="1"/>
  <c r="F1482" i="1"/>
  <c r="F1480" i="1"/>
  <c r="F1472" i="1"/>
  <c r="F1470" i="1"/>
  <c r="F1468" i="1"/>
  <c r="F1465" i="1"/>
  <c r="F1464" i="1" s="1"/>
  <c r="F1462" i="1"/>
  <c r="F1460" i="1"/>
  <c r="F1457" i="1"/>
  <c r="F1455" i="1"/>
  <c r="F1454" i="1"/>
  <c r="F1453" i="1" s="1"/>
  <c r="F1451" i="1"/>
  <c r="F1449" i="1"/>
  <c r="F1446" i="1"/>
  <c r="F1445" i="1" s="1"/>
  <c r="F1441" i="1"/>
  <c r="F1439" i="1"/>
  <c r="F1432" i="1"/>
  <c r="F1430" i="1"/>
  <c r="F1425" i="1"/>
  <c r="F1420" i="1"/>
  <c r="F1418" i="1"/>
  <c r="F1416" i="1"/>
  <c r="F1413" i="1"/>
  <c r="F1408" i="1"/>
  <c r="F1406" i="1"/>
  <c r="F1403" i="1"/>
  <c r="F1400" i="1"/>
  <c r="F1397" i="1"/>
  <c r="F1393" i="1"/>
  <c r="F1391" i="1"/>
  <c r="F1390" i="1"/>
  <c r="F1389" i="1" s="1"/>
  <c r="F1385" i="1"/>
  <c r="F1379" i="1"/>
  <c r="F1378" i="1"/>
  <c r="F1377" i="1" s="1"/>
  <c r="F1376" i="1" s="1"/>
  <c r="F1374" i="1"/>
  <c r="F1373" i="1" s="1"/>
  <c r="F1371" i="1"/>
  <c r="F1369" i="1"/>
  <c r="F1368" i="1" s="1"/>
  <c r="F1365" i="1"/>
  <c r="F1363" i="1"/>
  <c r="F1360" i="1"/>
  <c r="F1358" i="1"/>
  <c r="F1355" i="1"/>
  <c r="F1353" i="1"/>
  <c r="F1350" i="1"/>
  <c r="F1347" i="1" s="1"/>
  <c r="F1345" i="1"/>
  <c r="F1344" i="1" s="1"/>
  <c r="F1341" i="1"/>
  <c r="F1340" i="1"/>
  <c r="F1338" i="1" s="1"/>
  <c r="F1336" i="1"/>
  <c r="F1318" i="1"/>
  <c r="F1317" i="1" s="1"/>
  <c r="F1316" i="1" s="1"/>
  <c r="F1314" i="1"/>
  <c r="F1313" i="1" s="1"/>
  <c r="F1312" i="1" s="1"/>
  <c r="F1307" i="1"/>
  <c r="F1301" i="1"/>
  <c r="F1299" i="1"/>
  <c r="F1297" i="1"/>
  <c r="F1295" i="1"/>
  <c r="F1293" i="1"/>
  <c r="F1287" i="1"/>
  <c r="F1280" i="1"/>
  <c r="F1277" i="1"/>
  <c r="F1275" i="1"/>
  <c r="F1272" i="1"/>
  <c r="F1268" i="1"/>
  <c r="F1264" i="1"/>
  <c r="F1260" i="1"/>
  <c r="F1255" i="1"/>
  <c r="F1251" i="1"/>
  <c r="F1249" i="1"/>
  <c r="F1240" i="1"/>
  <c r="F1237" i="1"/>
  <c r="F1234" i="1" s="1"/>
  <c r="F1231" i="1"/>
  <c r="F1228" i="1"/>
  <c r="F1225" i="1"/>
  <c r="F1224" i="1"/>
  <c r="F1219" i="1"/>
  <c r="F1218" i="1" s="1"/>
  <c r="F1216" i="1"/>
  <c r="F1212" i="1"/>
  <c r="F1211" i="1" s="1"/>
  <c r="F1209" i="1"/>
  <c r="F1208" i="1" s="1"/>
  <c r="F1206" i="1"/>
  <c r="F1205" i="1" s="1"/>
  <c r="F1195" i="1"/>
  <c r="F1193" i="1"/>
  <c r="F1190" i="1"/>
  <c r="F1187" i="1"/>
  <c r="F1177" i="1"/>
  <c r="F1176" i="1" s="1"/>
  <c r="F1169" i="1"/>
  <c r="F1168" i="1" s="1"/>
  <c r="F1164" i="1"/>
  <c r="F1163" i="1" s="1"/>
  <c r="F1162" i="1" s="1"/>
  <c r="F1157" i="1"/>
  <c r="F1156" i="1" s="1"/>
  <c r="F1155" i="1" s="1"/>
  <c r="F1154" i="1" s="1"/>
  <c r="F1153" i="1" s="1"/>
  <c r="F1149" i="1"/>
  <c r="F1146" i="1"/>
  <c r="F1145" i="1"/>
  <c r="F1136" i="1"/>
  <c r="F1135" i="1"/>
  <c r="F1134" i="1"/>
  <c r="F1133" i="1"/>
  <c r="F1127" i="1"/>
  <c r="F1123" i="1"/>
  <c r="F1119" i="1"/>
  <c r="F1116" i="1"/>
  <c r="F1115" i="1"/>
  <c r="F1114" i="1" s="1"/>
  <c r="F1111" i="1"/>
  <c r="F1101" i="1"/>
  <c r="F1100" i="1" s="1"/>
  <c r="F1094" i="1"/>
  <c r="F1090" i="1"/>
  <c r="F1089" i="1"/>
  <c r="F1085" i="1"/>
  <c r="F1081" i="1"/>
  <c r="F1080" i="1" s="1"/>
  <c r="F1078" i="1"/>
  <c r="F1077" i="1" s="1"/>
  <c r="F1074" i="1"/>
  <c r="F1073" i="1" s="1"/>
  <c r="F1069" i="1"/>
  <c r="F1064" i="1"/>
  <c r="F1063" i="1" s="1"/>
  <c r="F1062" i="1"/>
  <c r="F1061" i="1" s="1"/>
  <c r="F1057" i="1"/>
  <c r="F1056" i="1"/>
  <c r="F1055" i="1" s="1"/>
  <c r="F1047" i="1"/>
  <c r="F1046" i="1"/>
  <c r="F1041" i="1"/>
  <c r="F1040" i="1" s="1"/>
  <c r="F1037" i="1"/>
  <c r="F1036" i="1" s="1"/>
  <c r="F1034" i="1"/>
  <c r="F1032" i="1"/>
  <c r="F1031" i="1" s="1"/>
  <c r="F1030" i="1"/>
  <c r="F1029" i="1" s="1"/>
  <c r="F1026" i="1"/>
  <c r="F1025" i="1" s="1"/>
  <c r="F1023" i="1"/>
  <c r="F1022" i="1" s="1"/>
  <c r="F1019" i="1"/>
  <c r="F1017" i="1"/>
  <c r="F1016" i="1" s="1"/>
  <c r="F1014" i="1"/>
  <c r="F1013" i="1" s="1"/>
  <c r="F1012" i="1"/>
  <c r="F1011" i="1" s="1"/>
  <c r="F1010" i="1"/>
  <c r="F1009" i="1" s="1"/>
  <c r="F1007" i="1"/>
  <c r="F1003" i="1"/>
  <c r="F1002" i="1"/>
  <c r="F994" i="1"/>
  <c r="F992" i="1"/>
  <c r="F991" i="1"/>
  <c r="F989" i="1"/>
  <c r="F988" i="1"/>
  <c r="F985" i="1"/>
  <c r="F984" i="1" s="1"/>
  <c r="F982" i="1"/>
  <c r="F980" i="1"/>
  <c r="F977" i="1"/>
  <c r="F976" i="1"/>
  <c r="F965" i="1"/>
  <c r="F964" i="1"/>
  <c r="F960" i="1"/>
  <c r="F953" i="1"/>
  <c r="F951" i="1"/>
  <c r="F947" i="1"/>
  <c r="F946" i="1" s="1"/>
  <c r="F941" i="1"/>
  <c r="F938" i="1"/>
  <c r="F937" i="1" s="1"/>
  <c r="F935" i="1"/>
  <c r="F934" i="1"/>
  <c r="F929" i="1"/>
  <c r="F925" i="1"/>
  <c r="F922" i="1"/>
  <c r="F921" i="1"/>
  <c r="F920" i="1"/>
  <c r="F916" i="1"/>
  <c r="F913" i="1"/>
  <c r="F904" i="1"/>
  <c r="F901" i="1"/>
  <c r="F900" i="1"/>
  <c r="F897" i="1"/>
  <c r="F896" i="1"/>
  <c r="F890" i="1"/>
  <c r="F887" i="1"/>
  <c r="F886" i="1" s="1"/>
  <c r="F884" i="1"/>
  <c r="F883" i="1"/>
  <c r="F877" i="1"/>
  <c r="F874" i="1"/>
  <c r="F870" i="1"/>
  <c r="F864" i="1"/>
  <c r="F863" i="1"/>
  <c r="F856" i="1"/>
  <c r="F855" i="1" s="1"/>
  <c r="F849" i="1"/>
  <c r="F840" i="1"/>
  <c r="F838" i="1" s="1"/>
  <c r="F837" i="1" s="1"/>
  <c r="F836" i="1" s="1"/>
  <c r="F835" i="1" s="1"/>
  <c r="F834" i="1" s="1"/>
  <c r="F825" i="1"/>
  <c r="F824" i="1" s="1"/>
  <c r="F823" i="1" s="1"/>
  <c r="F818" i="1"/>
  <c r="F817" i="1" s="1"/>
  <c r="F812" i="1"/>
  <c r="F811" i="1" s="1"/>
  <c r="F808" i="1"/>
  <c r="F803" i="1"/>
  <c r="F799" i="1"/>
  <c r="F794" i="1"/>
  <c r="F787" i="1"/>
  <c r="F786" i="1" s="1"/>
  <c r="F785" i="1" s="1"/>
  <c r="F784" i="1" s="1"/>
  <c r="F776" i="1"/>
  <c r="F775" i="1" s="1"/>
  <c r="F772" i="1"/>
  <c r="F767" i="1"/>
  <c r="F763" i="1"/>
  <c r="F758" i="1"/>
  <c r="F756" i="1"/>
  <c r="F749" i="1"/>
  <c r="F748" i="1" s="1"/>
  <c r="F747" i="1" s="1"/>
  <c r="F746" i="1" s="1"/>
  <c r="F738" i="1"/>
  <c r="F733" i="1"/>
  <c r="F732" i="1" s="1"/>
  <c r="F731" i="1"/>
  <c r="F730" i="1" s="1"/>
  <c r="F727" i="1"/>
  <c r="F726" i="1" s="1"/>
  <c r="F725" i="1" s="1"/>
  <c r="F724" i="1" s="1"/>
  <c r="F722" i="1"/>
  <c r="F718" i="1"/>
  <c r="F717" i="1" s="1"/>
  <c r="F715" i="1"/>
  <c r="F714" i="1" s="1"/>
  <c r="F712" i="1"/>
  <c r="F708" i="1"/>
  <c r="F707" i="1" s="1"/>
  <c r="F705" i="1"/>
  <c r="F703" i="1"/>
  <c r="F697" i="1"/>
  <c r="F695" i="1"/>
  <c r="F691" i="1"/>
  <c r="F690" i="1" s="1"/>
  <c r="F689" i="1" s="1"/>
  <c r="F685" i="1"/>
  <c r="F684" i="1" s="1"/>
  <c r="F683" i="1" s="1"/>
  <c r="F682" i="1" s="1"/>
  <c r="F681" i="1" s="1"/>
  <c r="F678" i="1"/>
  <c r="F677" i="1" s="1"/>
  <c r="F675" i="1"/>
  <c r="F669" i="1"/>
  <c r="F667" i="1"/>
  <c r="F660" i="1"/>
  <c r="F658" i="1"/>
  <c r="F648" i="1"/>
  <c r="F646" i="1"/>
  <c r="F643" i="1"/>
  <c r="F640" i="1"/>
  <c r="F631" i="1"/>
  <c r="F629" i="1"/>
  <c r="F624" i="1"/>
  <c r="F622" i="1"/>
  <c r="F620" i="1"/>
  <c r="F610" i="1"/>
  <c r="F609" i="1" s="1"/>
  <c r="F608" i="1" s="1"/>
  <c r="F606" i="1"/>
  <c r="F605" i="1" s="1"/>
  <c r="F603" i="1"/>
  <c r="F601" i="1"/>
  <c r="F595" i="1"/>
  <c r="F592" i="1"/>
  <c r="F589" i="1"/>
  <c r="F586" i="1"/>
  <c r="F583" i="1"/>
  <c r="F580" i="1"/>
  <c r="F577" i="1"/>
  <c r="F574" i="1"/>
  <c r="F571" i="1"/>
  <c r="F568" i="1"/>
  <c r="F565" i="1"/>
  <c r="F562" i="1"/>
  <c r="F559" i="1"/>
  <c r="F556" i="1"/>
  <c r="F553" i="1"/>
  <c r="F549" i="1"/>
  <c r="F546" i="1"/>
  <c r="F542" i="1"/>
  <c r="F540" i="1"/>
  <c r="F538" i="1"/>
  <c r="F536" i="1"/>
  <c r="F535" i="1"/>
  <c r="F534" i="1" s="1"/>
  <c r="F532" i="1"/>
  <c r="F530" i="1"/>
  <c r="F525" i="1"/>
  <c r="F523" i="1"/>
  <c r="F521" i="1"/>
  <c r="F511" i="1"/>
  <c r="F495" i="1"/>
  <c r="F494" i="1" s="1"/>
  <c r="F493" i="1" s="1"/>
  <c r="F492" i="1" s="1"/>
  <c r="F491" i="1" s="1"/>
  <c r="F489" i="1"/>
  <c r="F486" i="1"/>
  <c r="F481" i="1"/>
  <c r="F479" i="1"/>
  <c r="F471" i="1"/>
  <c r="F469" i="1"/>
  <c r="F464" i="1"/>
  <c r="F461" i="1" s="1"/>
  <c r="F455" i="1"/>
  <c r="F451" i="1"/>
  <c r="F445" i="1"/>
  <c r="F444" i="1" s="1"/>
  <c r="F433" i="1"/>
  <c r="F432" i="1" s="1"/>
  <c r="F430" i="1"/>
  <c r="F429" i="1" s="1"/>
  <c r="F425" i="1"/>
  <c r="F424" i="1" s="1"/>
  <c r="F422" i="1"/>
  <c r="F420" i="1"/>
  <c r="F415" i="1"/>
  <c r="F413" i="1"/>
  <c r="F409" i="1"/>
  <c r="F407" i="1"/>
  <c r="F402" i="1"/>
  <c r="F401" i="1"/>
  <c r="F400" i="1" s="1"/>
  <c r="F396" i="1"/>
  <c r="F395" i="1" s="1"/>
  <c r="F392" i="1"/>
  <c r="F391" i="1"/>
  <c r="F387" i="1"/>
  <c r="F385" i="1"/>
  <c r="F381" i="1"/>
  <c r="F379" i="1"/>
  <c r="F376" i="1"/>
  <c r="F374" i="1"/>
  <c r="F362" i="1"/>
  <c r="F361" i="1" s="1"/>
  <c r="F360" i="1" s="1"/>
  <c r="F358" i="1"/>
  <c r="F357" i="1"/>
  <c r="F355" i="1"/>
  <c r="F354" i="1"/>
  <c r="F349" i="1"/>
  <c r="F347" i="1"/>
  <c r="F345" i="1"/>
  <c r="F341" i="1"/>
  <c r="F340" i="1" s="1"/>
  <c r="F336" i="1"/>
  <c r="F335" i="1" s="1"/>
  <c r="F333" i="1"/>
  <c r="F332" i="1"/>
  <c r="F330" i="1"/>
  <c r="F329" i="1"/>
  <c r="F309" i="1"/>
  <c r="F303" i="1"/>
  <c r="F301" i="1"/>
  <c r="F295" i="1"/>
  <c r="F293" i="1"/>
  <c r="F287" i="1"/>
  <c r="F285" i="1"/>
  <c r="F283" i="1"/>
  <c r="F271" i="1"/>
  <c r="F269" i="1"/>
  <c r="F266" i="1"/>
  <c r="F265" i="1" s="1"/>
  <c r="F260" i="1"/>
  <c r="F259" i="1" s="1"/>
  <c r="F257" i="1"/>
  <c r="F256" i="1"/>
  <c r="F254" i="1"/>
  <c r="F252" i="1"/>
  <c r="F249" i="1"/>
  <c r="F248" i="1" s="1"/>
  <c r="F243" i="1"/>
  <c r="F240" i="1"/>
  <c r="F237" i="1"/>
  <c r="F231" i="1"/>
  <c r="F228" i="1"/>
  <c r="F222" i="1"/>
  <c r="F216" i="1"/>
  <c r="F213" i="1"/>
  <c r="F210" i="1"/>
  <c r="F207" i="1"/>
  <c r="F206" i="1" s="1"/>
  <c r="F204" i="1"/>
  <c r="F202" i="1"/>
  <c r="F198" i="1"/>
  <c r="F192" i="1"/>
  <c r="F183" i="1"/>
  <c r="F182" i="1" s="1"/>
  <c r="F179" i="1"/>
  <c r="F172" i="1"/>
  <c r="F165" i="1"/>
  <c r="F161" i="1"/>
  <c r="F156" i="1"/>
  <c r="F152" i="1"/>
  <c r="F149" i="1"/>
  <c r="F145" i="1"/>
  <c r="F140" i="1"/>
  <c r="F138" i="1"/>
  <c r="F137" i="1"/>
  <c r="F136" i="1" s="1"/>
  <c r="F133" i="1"/>
  <c r="F130" i="1"/>
  <c r="F129" i="1"/>
  <c r="F127" i="1"/>
  <c r="F126" i="1"/>
  <c r="F124" i="1"/>
  <c r="F122" i="1"/>
  <c r="F116" i="1"/>
  <c r="F111" i="1"/>
  <c r="F109" i="1"/>
  <c r="F104" i="1"/>
  <c r="F102" i="1"/>
  <c r="F99" i="1"/>
  <c r="F95" i="1"/>
  <c r="F90" i="1"/>
  <c r="F86" i="1"/>
  <c r="F85" i="1" s="1"/>
  <c r="F81" i="1"/>
  <c r="F79" i="1"/>
  <c r="F77" i="1" s="1"/>
  <c r="F74" i="1"/>
  <c r="F71" i="1"/>
  <c r="F68" i="1"/>
  <c r="F66" i="1"/>
  <c r="F63" i="1"/>
  <c r="F53" i="1"/>
  <c r="F51" i="1"/>
  <c r="F47" i="1"/>
  <c r="F46" i="1" s="1"/>
  <c r="F38" i="1"/>
  <c r="F35" i="1"/>
  <c r="F29" i="1"/>
  <c r="F23" i="1"/>
  <c r="F21" i="1"/>
  <c r="F20" i="1" s="1"/>
  <c r="F18" i="1"/>
  <c r="F17" i="1" s="1"/>
  <c r="F655" i="1" l="1"/>
  <c r="F428" i="1"/>
  <c r="F476" i="1"/>
  <c r="F483" i="1"/>
  <c r="F404" i="1"/>
  <c r="F1620" i="1"/>
  <c r="F1529" i="1"/>
  <c r="F306" i="1"/>
  <c r="F305" i="1" s="1"/>
  <c r="F292" i="1"/>
  <c r="F1388" i="1"/>
  <c r="F1427" i="1"/>
  <c r="F1564" i="1"/>
  <c r="F276" i="1"/>
  <c r="F325" i="1"/>
  <c r="F1044" i="1"/>
  <c r="F1043" i="1" s="1"/>
  <c r="F933" i="1"/>
  <c r="F862" i="1"/>
  <c r="F861" i="1" s="1"/>
  <c r="F860" i="1" s="1"/>
  <c r="F859" i="1" s="1"/>
  <c r="F858" i="1" s="1"/>
  <c r="F857" i="1" s="1"/>
  <c r="F1093" i="1"/>
  <c r="F1092" i="1" s="1"/>
  <c r="F1091" i="1" s="1"/>
  <c r="F168" i="1"/>
  <c r="F911" i="1"/>
  <c r="F990" i="1"/>
  <c r="F882" i="1"/>
  <c r="F899" i="1"/>
  <c r="F1088" i="1"/>
  <c r="F710" i="1"/>
  <c r="F1084" i="1"/>
  <c r="F1083" i="1" s="1"/>
  <c r="F1082" i="1" s="1"/>
  <c r="F1098" i="1"/>
  <c r="F1097" i="1" s="1"/>
  <c r="F1096" i="1" s="1"/>
  <c r="F1095" i="1" s="1"/>
  <c r="F846" i="1"/>
  <c r="F987" i="1"/>
  <c r="F1144" i="1"/>
  <c r="F975" i="1"/>
  <c r="F702" i="1"/>
  <c r="F701" i="1" s="1"/>
  <c r="F721" i="1"/>
  <c r="F720" i="1" s="1"/>
  <c r="F979" i="1"/>
  <c r="F1001" i="1"/>
  <c r="F1000" i="1" s="1"/>
  <c r="F1132" i="1"/>
  <c r="F1131" i="1" s="1"/>
  <c r="F1130" i="1" s="1"/>
  <c r="F1412" i="1"/>
  <c r="F1049" i="1"/>
  <c r="F1438" i="1"/>
  <c r="F1437" i="1" s="1"/>
  <c r="F1436" i="1" s="1"/>
  <c r="F895" i="1"/>
  <c r="F894" i="1" s="1"/>
  <c r="F1006" i="1"/>
  <c r="F1005" i="1" s="1"/>
  <c r="F1018" i="1"/>
  <c r="F1015" i="1" s="1"/>
  <c r="F854" i="1"/>
  <c r="F853" i="1" s="1"/>
  <c r="F852" i="1" s="1"/>
  <c r="F917" i="1"/>
  <c r="F963" i="1"/>
  <c r="F1076" i="1"/>
  <c r="F1352" i="1"/>
  <c r="F1060" i="1"/>
  <c r="F548" i="1"/>
  <c r="F564" i="1"/>
  <c r="F600" i="1"/>
  <c r="F928" i="1"/>
  <c r="F132" i="1"/>
  <c r="F242" i="1"/>
  <c r="F468" i="1"/>
  <c r="F488" i="1"/>
  <c r="F567" i="1"/>
  <c r="F582" i="1"/>
  <c r="F1627" i="1"/>
  <c r="F1626" i="1" s="1"/>
  <c r="F108" i="1"/>
  <c r="F107" i="1" s="1"/>
  <c r="F106" i="1" s="1"/>
  <c r="F212" i="1"/>
  <c r="F251" i="1"/>
  <c r="F412" i="1"/>
  <c r="F585" i="1"/>
  <c r="F221" i="1"/>
  <c r="F220" i="1" s="1"/>
  <c r="F555" i="1"/>
  <c r="F576" i="1"/>
  <c r="F642" i="1"/>
  <c r="F1543" i="1"/>
  <c r="F22" i="1"/>
  <c r="F45" i="1"/>
  <c r="F44" i="1" s="1"/>
  <c r="F43" i="1" s="1"/>
  <c r="F80" i="1"/>
  <c r="F98" i="1"/>
  <c r="F191" i="1"/>
  <c r="F558" i="1"/>
  <c r="F591" i="1"/>
  <c r="F645" i="1"/>
  <c r="F798" i="1"/>
  <c r="F797" i="1" s="1"/>
  <c r="F796" i="1" s="1"/>
  <c r="F1467" i="1"/>
  <c r="F178" i="1"/>
  <c r="F1274" i="1"/>
  <c r="F101" i="1"/>
  <c r="F419" i="1"/>
  <c r="F573" i="1"/>
  <c r="F674" i="1"/>
  <c r="F673" i="1" s="1"/>
  <c r="F672" i="1" s="1"/>
  <c r="F671" i="1" s="1"/>
  <c r="F694" i="1"/>
  <c r="F693" i="1" s="1"/>
  <c r="F1555" i="1"/>
  <c r="F115" i="1"/>
  <c r="F114" i="1" s="1"/>
  <c r="F113" i="1" s="1"/>
  <c r="F236" i="1"/>
  <c r="F443" i="1"/>
  <c r="F442" i="1" s="1"/>
  <c r="F666" i="1"/>
  <c r="F665" i="1" s="1"/>
  <c r="F664" i="1" s="1"/>
  <c r="F663" i="1" s="1"/>
  <c r="F766" i="1"/>
  <c r="F765" i="1" s="1"/>
  <c r="F793" i="1"/>
  <c r="F792" i="1" s="1"/>
  <c r="F889" i="1"/>
  <c r="F888" i="1" s="1"/>
  <c r="F1021" i="1"/>
  <c r="F1292" i="1"/>
  <c r="F1291" i="1" s="1"/>
  <c r="F1290" i="1" s="1"/>
  <c r="F1362" i="1"/>
  <c r="F1459" i="1"/>
  <c r="F704" i="1"/>
  <c r="F936" i="1"/>
  <c r="F1215" i="1"/>
  <c r="F1214" i="1" s="1"/>
  <c r="F771" i="1"/>
  <c r="F770" i="1" s="1"/>
  <c r="F769" i="1" s="1"/>
  <c r="F1161" i="1"/>
  <c r="F1160" i="1" s="1"/>
  <c r="F1311" i="1"/>
  <c r="F1310" i="1" s="1"/>
  <c r="F1367" i="1"/>
  <c r="F755" i="1"/>
  <c r="F754" i="1" s="1"/>
  <c r="F1263" i="1"/>
  <c r="F1262" i="1" s="1"/>
  <c r="F1536" i="1"/>
  <c r="F1601" i="1"/>
  <c r="F1600" i="1" s="1"/>
  <c r="F1599" i="1" s="1"/>
  <c r="F50" i="1"/>
  <c r="F49" i="1" s="1"/>
  <c r="F151" i="1"/>
  <c r="F399" i="1"/>
  <c r="F529" i="1"/>
  <c r="F528" i="1" s="1"/>
  <c r="F527" i="1" s="1"/>
  <c r="F552" i="1"/>
  <c r="F561" i="1"/>
  <c r="F570" i="1"/>
  <c r="F579" i="1"/>
  <c r="F588" i="1"/>
  <c r="F639" i="1"/>
  <c r="F1357" i="1"/>
  <c r="F1424" i="1"/>
  <c r="F1491" i="1"/>
  <c r="F1490" i="1" s="1"/>
  <c r="F1489" i="1" s="1"/>
  <c r="F19" i="1"/>
  <c r="F28" i="1"/>
  <c r="F27" i="1" s="1"/>
  <c r="F594" i="1"/>
  <c r="F84" i="1"/>
  <c r="F94" i="1"/>
  <c r="F93" i="1" s="1"/>
  <c r="F155" i="1"/>
  <c r="F197" i="1"/>
  <c r="F209" i="1"/>
  <c r="F353" i="1"/>
  <c r="F454" i="1"/>
  <c r="F453" i="1" s="1"/>
  <c r="F619" i="1"/>
  <c r="F711" i="1"/>
  <c r="F737" i="1"/>
  <c r="F736" i="1" s="1"/>
  <c r="F735" i="1" s="1"/>
  <c r="F729" i="1" s="1"/>
  <c r="F816" i="1"/>
  <c r="F815" i="1" s="1"/>
  <c r="F814" i="1" s="1"/>
  <c r="F1508" i="1"/>
  <c r="F339" i="1"/>
  <c r="F373" i="1"/>
  <c r="F390" i="1"/>
  <c r="F1072" i="1"/>
  <c r="F1071" i="1" s="1"/>
  <c r="F160" i="1"/>
  <c r="F201" i="1"/>
  <c r="F802" i="1"/>
  <c r="F1008" i="1"/>
  <c r="F1035" i="1"/>
  <c r="F1204" i="1"/>
  <c r="F1203" i="1" s="1"/>
  <c r="F121" i="1"/>
  <c r="F144" i="1"/>
  <c r="F510" i="1"/>
  <c r="F509" i="1" s="1"/>
  <c r="F508" i="1" s="1"/>
  <c r="F16" i="1"/>
  <c r="F37" i="1"/>
  <c r="F34" i="1" s="1"/>
  <c r="F89" i="1"/>
  <c r="F88" i="1" s="1"/>
  <c r="F215" i="1"/>
  <c r="F227" i="1"/>
  <c r="F226" i="1" s="1"/>
  <c r="F225" i="1" s="1"/>
  <c r="F239" i="1"/>
  <c r="F268" i="1"/>
  <c r="F264" i="1" s="1"/>
  <c r="F344" i="1"/>
  <c r="F378" i="1"/>
  <c r="F394" i="1"/>
  <c r="F545" i="1"/>
  <c r="F628" i="1"/>
  <c r="F807" i="1"/>
  <c r="F822" i="1"/>
  <c r="F821" i="1" s="1"/>
  <c r="F820" i="1" s="1"/>
  <c r="F869" i="1"/>
  <c r="F1113" i="1"/>
  <c r="F1112" i="1" s="1"/>
  <c r="F450" i="1"/>
  <c r="F449" i="1" s="1"/>
  <c r="F762" i="1"/>
  <c r="F761" i="1" s="1"/>
  <c r="F760" i="1" s="1"/>
  <c r="F1054" i="1"/>
  <c r="F1053" i="1" s="1"/>
  <c r="F1402" i="1"/>
  <c r="F520" i="1"/>
  <c r="F519" i="1" s="1"/>
  <c r="F873" i="1"/>
  <c r="F903" i="1"/>
  <c r="F902" i="1" s="1"/>
  <c r="F1024" i="1"/>
  <c r="F1335" i="1"/>
  <c r="F1448" i="1"/>
  <c r="F65" i="1"/>
  <c r="F62" i="1" s="1"/>
  <c r="F61" i="1" s="1"/>
  <c r="F60" i="1" s="1"/>
  <c r="F384" i="1"/>
  <c r="F383" i="1" s="1"/>
  <c r="F983" i="1"/>
  <c r="F952" i="1"/>
  <c r="F1110" i="1"/>
  <c r="F1109" i="1" s="1"/>
  <c r="F1108" i="1" s="1"/>
  <c r="F1192" i="1"/>
  <c r="F1230" i="1"/>
  <c r="F1248" i="1"/>
  <c r="F1247" i="1" s="1"/>
  <c r="F1259" i="1"/>
  <c r="F1258" i="1" s="1"/>
  <c r="F1306" i="1"/>
  <c r="F1305" i="1" s="1"/>
  <c r="F1304" i="1" s="1"/>
  <c r="F1303" i="1" s="1"/>
  <c r="F1384" i="1"/>
  <c r="F1383" i="1" s="1"/>
  <c r="F945" i="1"/>
  <c r="F944" i="1" s="1"/>
  <c r="F993" i="1"/>
  <c r="F1068" i="1"/>
  <c r="F1067" i="1" s="1"/>
  <c r="F1066" i="1" s="1"/>
  <c r="F1065" i="1" s="1"/>
  <c r="F1148" i="1"/>
  <c r="F1147" i="1" s="1"/>
  <c r="F1271" i="1"/>
  <c r="F1399" i="1"/>
  <c r="F1605" i="1"/>
  <c r="F1604" i="1" s="1"/>
  <c r="F1645" i="1"/>
  <c r="F1644" i="1" s="1"/>
  <c r="F1643" i="1" s="1"/>
  <c r="F1286" i="1"/>
  <c r="F1285" i="1" s="1"/>
  <c r="F1284" i="1" s="1"/>
  <c r="F1486" i="1"/>
  <c r="F1485" i="1" s="1"/>
  <c r="F1484" i="1" s="1"/>
  <c r="F1595" i="1"/>
  <c r="F1594" i="1" s="1"/>
  <c r="F1633" i="1"/>
  <c r="F1632" i="1" s="1"/>
  <c r="F1039" i="1"/>
  <c r="F1038" i="1" s="1"/>
  <c r="F1079" i="1"/>
  <c r="F1186" i="1"/>
  <c r="F1239" i="1"/>
  <c r="F1254" i="1"/>
  <c r="F1253" i="1" s="1"/>
  <c r="F1549" i="1"/>
  <c r="F1415" i="1"/>
  <c r="F1479" i="1"/>
  <c r="F1478" i="1" s="1"/>
  <c r="F1589" i="1"/>
  <c r="F1588" i="1" s="1"/>
  <c r="F1587" i="1" s="1"/>
  <c r="F1586" i="1" s="1"/>
  <c r="F1611" i="1"/>
  <c r="F885" i="1"/>
  <c r="F940" i="1"/>
  <c r="F939" i="1" s="1"/>
  <c r="F950" i="1"/>
  <c r="F949" i="1" s="1"/>
  <c r="F948" i="1" s="1"/>
  <c r="F1033" i="1"/>
  <c r="F1028" i="1" s="1"/>
  <c r="F1189" i="1"/>
  <c r="F1227" i="1"/>
  <c r="F1267" i="1"/>
  <c r="F1266" i="1" s="1"/>
  <c r="F1279" i="1"/>
  <c r="F1405" i="1"/>
  <c r="F369" i="1" l="1"/>
  <c r="F368" i="1" s="1"/>
  <c r="F352" i="1" s="1"/>
  <c r="F275" i="1"/>
  <c r="F274" i="1" s="1"/>
  <c r="F273" i="1" s="1"/>
  <c r="F1223" i="1"/>
  <c r="F1222" i="1" s="1"/>
  <c r="F551" i="1"/>
  <c r="F544" i="1" s="1"/>
  <c r="F513" i="1" s="1"/>
  <c r="F1143" i="1"/>
  <c r="F1142" i="1" s="1"/>
  <c r="F1141" i="1" s="1"/>
  <c r="F1140" i="1" s="1"/>
  <c r="F1444" i="1"/>
  <c r="F1443" i="1" s="1"/>
  <c r="F427" i="1"/>
  <c r="F190" i="1"/>
  <c r="F48" i="1"/>
  <c r="F411" i="1"/>
  <c r="F932" i="1"/>
  <c r="F931" i="1" s="1"/>
  <c r="F247" i="1"/>
  <c r="F246" i="1" s="1"/>
  <c r="F167" i="1"/>
  <c r="F143" i="1" s="1"/>
  <c r="F142" i="1" s="1"/>
  <c r="F1020" i="1"/>
  <c r="F974" i="1"/>
  <c r="F120" i="1"/>
  <c r="F119" i="1" s="1"/>
  <c r="F1411" i="1"/>
  <c r="F1410" i="1" s="1"/>
  <c r="F1548" i="1"/>
  <c r="F1547" i="1" s="1"/>
  <c r="F1546" i="1" s="1"/>
  <c r="F1289" i="1"/>
  <c r="F881" i="1"/>
  <c r="F880" i="1" s="1"/>
  <c r="F1075" i="1"/>
  <c r="F1070" i="1" s="1"/>
  <c r="F460" i="1"/>
  <c r="F459" i="1" s="1"/>
  <c r="F458" i="1" s="1"/>
  <c r="F898" i="1"/>
  <c r="F893" i="1" s="1"/>
  <c r="F1087" i="1"/>
  <c r="F1086" i="1" s="1"/>
  <c r="F753" i="1"/>
  <c r="F752" i="1" s="1"/>
  <c r="F751" i="1" s="1"/>
  <c r="F978" i="1"/>
  <c r="F235" i="1"/>
  <c r="F234" i="1" s="1"/>
  <c r="F224" i="1" s="1"/>
  <c r="F448" i="1"/>
  <c r="F447" i="1" s="1"/>
  <c r="F1202" i="1"/>
  <c r="F1048" i="1"/>
  <c r="F1042" i="1" s="1"/>
  <c r="F986" i="1"/>
  <c r="F845" i="1"/>
  <c r="F844" i="1" s="1"/>
  <c r="F843" i="1" s="1"/>
  <c r="F842" i="1" s="1"/>
  <c r="F841" i="1" s="1"/>
  <c r="F1423" i="1"/>
  <c r="F1422" i="1" s="1"/>
  <c r="F910" i="1"/>
  <c r="F909" i="1" s="1"/>
  <c r="F959" i="1"/>
  <c r="F958" i="1" s="1"/>
  <c r="F957" i="1" s="1"/>
  <c r="F956" i="1" s="1"/>
  <c r="F654" i="1"/>
  <c r="F653" i="1" s="1"/>
  <c r="F652" i="1" s="1"/>
  <c r="F627" i="1"/>
  <c r="F626" i="1" s="1"/>
  <c r="F618" i="1" s="1"/>
  <c r="F700" i="1"/>
  <c r="F699" i="1" s="1"/>
  <c r="F688" i="1" s="1"/>
  <c r="F687" i="1" s="1"/>
  <c r="F680" i="1" s="1"/>
  <c r="F418" i="1"/>
  <c r="F417" i="1" s="1"/>
  <c r="F1059" i="1"/>
  <c r="F1610" i="1"/>
  <c r="F1609" i="1" s="1"/>
  <c r="F15" i="1"/>
  <c r="F14" i="1" s="1"/>
  <c r="F13" i="1" s="1"/>
  <c r="F1346" i="1"/>
  <c r="F97" i="1"/>
  <c r="F92" i="1" s="1"/>
  <c r="F398" i="1"/>
  <c r="F1625" i="1"/>
  <c r="F291" i="1"/>
  <c r="F290" i="1" s="1"/>
  <c r="F289" i="1" s="1"/>
  <c r="F1175" i="1"/>
  <c r="F1027" i="1"/>
  <c r="F1528" i="1"/>
  <c r="F1527" i="1" s="1"/>
  <c r="F1521" i="1" s="1"/>
  <c r="F475" i="1"/>
  <c r="F474" i="1" s="1"/>
  <c r="F473" i="1" s="1"/>
  <c r="F1257" i="1"/>
  <c r="F662" i="1"/>
  <c r="F1185" i="1"/>
  <c r="F1184" i="1" s="1"/>
  <c r="F868" i="1"/>
  <c r="F200" i="1"/>
  <c r="F1477" i="1"/>
  <c r="F1270" i="1"/>
  <c r="F1107" i="1"/>
  <c r="F1106" i="1" s="1"/>
  <c r="F1593" i="1"/>
  <c r="F801" i="1"/>
  <c r="F791" i="1" s="1"/>
  <c r="F790" i="1" s="1"/>
  <c r="F789" i="1" s="1"/>
  <c r="F26" i="1"/>
  <c r="F25" i="1" s="1"/>
  <c r="F343" i="1"/>
  <c r="F324" i="1" s="1"/>
  <c r="F999" i="1"/>
  <c r="F262" i="1"/>
  <c r="F263" i="1"/>
  <c r="F1334" i="1"/>
  <c r="F1387" i="1"/>
  <c r="F1174" i="1" l="1"/>
  <c r="F1173" i="1" s="1"/>
  <c r="F1183" i="1"/>
  <c r="F457" i="1"/>
  <c r="F189" i="1"/>
  <c r="F188" i="1" s="1"/>
  <c r="F187" i="1" s="1"/>
  <c r="F1382" i="1"/>
  <c r="F1381" i="1" s="1"/>
  <c r="F1105" i="1"/>
  <c r="F973" i="1"/>
  <c r="F972" i="1" s="1"/>
  <c r="F971" i="1" s="1"/>
  <c r="F908" i="1"/>
  <c r="F907" i="1" s="1"/>
  <c r="F1592" i="1"/>
  <c r="F1513" i="1" s="1"/>
  <c r="F998" i="1"/>
  <c r="F997" i="1" s="1"/>
  <c r="F389" i="1"/>
  <c r="F351" i="1" s="1"/>
  <c r="F507" i="1"/>
  <c r="F1333" i="1"/>
  <c r="F1332" i="1" s="1"/>
  <c r="F1321" i="1" s="1"/>
  <c r="F83" i="1"/>
  <c r="F42" i="1" s="1"/>
  <c r="F12" i="1"/>
  <c r="F11" i="1" s="1"/>
  <c r="F867" i="1"/>
  <c r="F866" i="1" s="1"/>
  <c r="F1246" i="1"/>
  <c r="F1221" i="1" s="1"/>
  <c r="F245" i="1"/>
  <c r="F1309" i="1" l="1"/>
  <c r="F865" i="1"/>
  <c r="F833" i="1" s="1"/>
  <c r="F1152" i="1"/>
  <c r="F41" i="1"/>
  <c r="F1648" i="1" l="1"/>
</calcChain>
</file>

<file path=xl/sharedStrings.xml><?xml version="1.0" encoding="utf-8"?>
<sst xmlns="http://schemas.openxmlformats.org/spreadsheetml/2006/main" count="6722" uniqueCount="1121">
  <si>
    <t>Наименование главного распорядителя бюджетных средств, раздела, подраздела, целевой статьи, вида расходов</t>
  </si>
  <si>
    <t>Код главного распоряди-теля бюджетных средств</t>
  </si>
  <si>
    <t>Код раз-дела, подраздела</t>
  </si>
  <si>
    <t xml:space="preserve">Код целевой статьи </t>
  </si>
  <si>
    <t>Код вида расходов</t>
  </si>
  <si>
    <t>Сумма,          в тысячах рублей</t>
  </si>
  <si>
    <t>2</t>
  </si>
  <si>
    <t>3</t>
  </si>
  <si>
    <t>4</t>
  </si>
  <si>
    <t>5</t>
  </si>
  <si>
    <t>6</t>
  </si>
  <si>
    <t>Городская Дума города Южно-Сахалинска</t>
  </si>
  <si>
    <t>901</t>
  </si>
  <si>
    <t/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</si>
  <si>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</si>
  <si>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</si>
  <si>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</si>
  <si>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</si>
  <si>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на обеспечение деятельности органов местного самоуправления</t>
  </si>
  <si>
    <t>5500000000</t>
  </si>
  <si>
    <t>Представительные органы местного самоуправления</t>
  </si>
  <si>
    <t>5530000000</t>
  </si>
  <si>
    <t>Председатель представительного органа муниципального образования</t>
  </si>
  <si>
    <t>5530100000</t>
  </si>
  <si>
    <t>5530100110</t>
  </si>
  <si>
    <t>Расходы на выплаты персоналу государственных (муниципальных) органов</t>
  </si>
  <si>
    <t>Депутаты представительного органа муниципального образования</t>
  </si>
  <si>
    <t>5530200000</t>
  </si>
  <si>
    <t>5530200110</t>
  </si>
  <si>
    <t>Центральный аппарат</t>
  </si>
  <si>
    <t>5530400000</t>
  </si>
  <si>
    <t>5530400110</t>
  </si>
  <si>
    <t>Другие общегосударственные вопросы</t>
  </si>
  <si>
    <t>0113</t>
  </si>
  <si>
    <t>Прочие непрограммные расходы за счет местного бюджета</t>
  </si>
  <si>
    <t>5600000000</t>
  </si>
  <si>
    <t>Обеспечение деятельности подведомственных учреждений</t>
  </si>
  <si>
    <t>5610000000</t>
  </si>
  <si>
    <t xml:space="preserve">Учреждения по обеспечению хозяйственного обслуживания </t>
  </si>
  <si>
    <t>5610100000</t>
  </si>
  <si>
    <t>Расходы на обеспечение деятельности (оказание услуг) муниципальных учреждений</t>
  </si>
  <si>
    <t>5610100590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</si>
  <si>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</si>
  <si>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</si>
  <si>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</si>
  <si>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Выполнение функций органами местного самоуправления</t>
  </si>
  <si>
    <t>5620000000</t>
  </si>
  <si>
    <t>Расходы на обеспечение функций органов местного самоуправления</t>
  </si>
  <si>
    <t>5620000190</t>
  </si>
  <si>
    <t>Другие расходы по реализации государственных функций, связанных с общегосударственным управлением</t>
  </si>
  <si>
    <t>5620900000</t>
  </si>
  <si>
    <t>Иные расходы органов местного самоуправления</t>
  </si>
  <si>
    <t>5620900990</t>
  </si>
  <si>
    <t>Администрация города Южно-Сахалинска</t>
  </si>
  <si>
    <t>902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</si>
  <si>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</si>
  <si>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</si>
  <si>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</si>
  <si>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5510000000</t>
  </si>
  <si>
    <t>5510000110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</si>
  <si>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</si>
  <si>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</si>
  <si>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Исполнительно-распорядительные органы местного самоуправления</t>
  </si>
  <si>
    <t>5520000000</t>
  </si>
  <si>
    <t>5520400000</t>
  </si>
  <si>
    <t>5520400110</t>
  </si>
  <si>
    <t>Непрограммные расходы за счет межбюджетных трансфертов</t>
  </si>
  <si>
    <t>Субвенция на реализацию Закона Сахалинской области от 30 апреля 2004 года № 500 "Об административных комиссиях в Сахалинской области"</t>
  </si>
  <si>
    <t>5520462010</t>
  </si>
  <si>
    <t>Субвенция на реализацию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</si>
  <si>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Субвенция на реализацию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</si>
  <si>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Субвенция на реализацию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</si>
  <si>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5520462210</t>
  </si>
  <si>
    <t>Осуществление переданных полномочий Сахалинской области по опеке и попечительству</t>
  </si>
  <si>
    <t>5520462600</t>
  </si>
  <si>
    <t>Муниципальная программа "Реформирование и развитие системы муниципальной службы в администрации города Южно-Сахалинска (2015-2020 годы)"</t>
  </si>
  <si>
    <t>0300000000</t>
  </si>
  <si>
    <t>Дополнительное образование муниципальных служащих</t>
  </si>
  <si>
    <t>0300200000</t>
  </si>
  <si>
    <t>0300200190</t>
  </si>
  <si>
    <t>Дополнительное профессиональное образование муниципальных служащих</t>
  </si>
  <si>
    <t>0300220400</t>
  </si>
  <si>
    <t>Иные обязательства, возникающие при реализации муниципальных программ</t>
  </si>
  <si>
    <t>Муниципальная программа "Развитие инвестиционного потенциала городского округа "Город Южно-Сахалинск" на 2015-2020 годы"</t>
  </si>
  <si>
    <t>0500000000</t>
  </si>
  <si>
    <t>Муниципальная программа "Поддержка и развитие малого и среднего предпринимательства городского округа "Город Южно-Сахалинск" на 2015-2020 годы"</t>
  </si>
  <si>
    <t>0600000000</t>
  </si>
  <si>
    <t>Развитие информационной поддержки субъектов малого и среднего предпринимательства, содействие повышению престижа предпринимательской деятельности городского округа "Город Южно-Сахалинск"</t>
  </si>
  <si>
    <t>0600400000</t>
  </si>
  <si>
    <t>0600420990</t>
  </si>
  <si>
    <t>Муниципальная программа "Развитие потребительского рынка городского округа "Город Южно-Сахалинск" на 2015-2020 годы"</t>
  </si>
  <si>
    <t>0700000000</t>
  </si>
  <si>
    <t>Муниципальная программа "Обеспечение общественного правопорядка, противодействие преступности и незаконному обороту наркотиков в городском округе "Город Южно-Сахалинск" на 2015-2020 годы"</t>
  </si>
  <si>
    <t>1000000000</t>
  </si>
  <si>
    <t>Подпрограмма "Противодействие коррупции в администрации города Южно-Сахалинска на 2015-2020 годы"</t>
  </si>
  <si>
    <t>1040000000</t>
  </si>
  <si>
    <t>Информирование населения о реализации антикоррупционной политики</t>
  </si>
  <si>
    <t>1040200000</t>
  </si>
  <si>
    <t>1040220990</t>
  </si>
  <si>
    <t>Организация повышения квалификации специалистов, в должностные обязанности которых входит участие в противодействии коррупции</t>
  </si>
  <si>
    <t>1040900000</t>
  </si>
  <si>
    <t>1040920400</t>
  </si>
  <si>
    <t>Муниципальная программа "Социальная поддержка населения городского округа "Город Южно-Сахалинск" на 2015-2020 годы"</t>
  </si>
  <si>
    <t>1600000000</t>
  </si>
  <si>
    <t>Подпрограмма "Социальная поддержка граждан - "Забота" на 2015-2020 годы"</t>
  </si>
  <si>
    <t>1620000000</t>
  </si>
  <si>
    <t>Почтовые расходы и повышение социальной активности отдельных категорий граждан</t>
  </si>
  <si>
    <t>1620900000</t>
  </si>
  <si>
    <t>1620920990</t>
  </si>
  <si>
    <t>Подготовка и проведение мероприятий, посвященных праздничным и юбилейным датам городского округа</t>
  </si>
  <si>
    <t>1620920010</t>
  </si>
  <si>
    <t>Муниципальная программа "Совершенствование системы муниципального управления в городском округе "Город Южно-Сахалинск" на 2015-2020 годы"</t>
  </si>
  <si>
    <t>2300000000</t>
  </si>
  <si>
    <t>Подпрограмма "Содействие развитию институтов и инициатив гражданского общества в городском округе "Город Южно-Сахалинск" на 2015-2020 годы"</t>
  </si>
  <si>
    <t>2310000000</t>
  </si>
  <si>
    <t>Содействие развитию институтов гражданского общества, поддержка гражданских и общественных инициатив</t>
  </si>
  <si>
    <t>2310100000</t>
  </si>
  <si>
    <t>2310120990</t>
  </si>
  <si>
    <t>2310183010</t>
  </si>
  <si>
    <t>Премии и гранты</t>
  </si>
  <si>
    <t>Проведение общегородских мероприятий</t>
  </si>
  <si>
    <t>2310200000</t>
  </si>
  <si>
    <t>2310220010</t>
  </si>
  <si>
    <t>Занесение на Доску Почета городского округа "Город Южно-Сахалинск" учреждений, организаций, предприятий и физических лиц</t>
  </si>
  <si>
    <t>2310300000</t>
  </si>
  <si>
    <t>2310320990</t>
  </si>
  <si>
    <t>Развитие международных и межрегиональных связей в городском округе "Город Южно-Сахалинск"</t>
  </si>
  <si>
    <t>2310400000</t>
  </si>
  <si>
    <t>2310420990</t>
  </si>
  <si>
    <t>Подпрограмма "Информатизация  2016-2020 годы"</t>
  </si>
  <si>
    <t>2330000000</t>
  </si>
  <si>
    <t>Информатизация</t>
  </si>
  <si>
    <t>2330100000</t>
  </si>
  <si>
    <t>2330120400</t>
  </si>
  <si>
    <t>2330120990</t>
  </si>
  <si>
    <t>Учреждения по обеспечению аналитического и информационного сопровождения деятельности исполнительно-распорядительного органа местного самоуправления</t>
  </si>
  <si>
    <t>5610200000</t>
  </si>
  <si>
    <t>5610200590</t>
  </si>
  <si>
    <t>Учреждения по обеспечению деятельности в сфере строительства, реконструкции, капитального ремонта и проектирования объектов капитального строительства</t>
  </si>
  <si>
    <t>5610300000</t>
  </si>
  <si>
    <t>5610300590</t>
  </si>
  <si>
    <t>Расходы на содержание "Мест временного расселения граждан, лишившихся жилья"</t>
  </si>
  <si>
    <t>Учреждение по организации транспортного обслуживания и создание условий для предоставления транспортных услуг населению в границах городского округа</t>
  </si>
  <si>
    <t>5610700000</t>
  </si>
  <si>
    <t>5610700590</t>
  </si>
  <si>
    <t>Исполнение судебных актов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</si>
  <si>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</si>
  <si>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</si>
  <si>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</si>
  <si>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</si>
  <si>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"Защита населения и территории городского округа "Город Южно-Сахалинск"от чрезвычайных ситуаций природного и техногенного характера, обеспечение пожарной безопасности и безопасности людей на водных объектах на 2015-2020 годы"</t>
  </si>
  <si>
    <t>2200000000</t>
  </si>
  <si>
    <t>Подпрограмма "Обеспечение пожарной безопасности в городском округе "Город Южно-Сахалинск"</t>
  </si>
  <si>
    <t>2210000000</t>
  </si>
  <si>
    <t>Мероприятия по агитации и пропаганде пожарной безопасности</t>
  </si>
  <si>
    <t>2210400000</t>
  </si>
  <si>
    <t>2210420990</t>
  </si>
  <si>
    <t>Подпрограмма "Предупреждение, ликвидация, снижение рисков и смягчение последствий чрезвычайных ситуаций природного и техногенного характера, обеспечение безопасности на водных объектах"</t>
  </si>
  <si>
    <t>2220000000</t>
  </si>
  <si>
    <t>Создание, содержание и использование муниципального резерва материальных ресурсов для ликвидации чрезвычайных ситуаций</t>
  </si>
  <si>
    <t>2220100000</t>
  </si>
  <si>
    <t>Создание и использование муниципального резерва материальных ресурсов для ликвидации чрезвычайных ситуаций природного и техногенного характера</t>
  </si>
  <si>
    <t>2220120110</t>
  </si>
  <si>
    <t>2220120990</t>
  </si>
  <si>
    <t>Содержание и эксплуатационно-техническое обслуживание системы оповещения</t>
  </si>
  <si>
    <t>2220300000</t>
  </si>
  <si>
    <t>2220320990</t>
  </si>
  <si>
    <t>Организация образовательной деятельности в сфере предупреждения и ликвидации чрезвычайных ситуаций</t>
  </si>
  <si>
    <t>2220500000</t>
  </si>
  <si>
    <t>2220520990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</si>
  <si>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</si>
  <si>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</si>
  <si>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транспортной инфраструктуры и дорожного хозяйства городского округа "Город Южно-Сахалинск" на 2015-2020 годы"</t>
  </si>
  <si>
    <t>0900000000</t>
  </si>
  <si>
    <t>Подпрограмма "Повышение безопасности дорожного движения на территории городского округа "Город Южно-Сахалинск" на период 2015-2020 годов"</t>
  </si>
  <si>
    <t>0920000000</t>
  </si>
  <si>
    <t xml:space="preserve">Софинансирование мероприятий по безопасности дорожного движения и профилактике правонарушений </t>
  </si>
  <si>
    <t>Подпрограмма "Профилактика правонарушений в городском округе "Город Южно-Сахалинск"на 2015-2020 годы"</t>
  </si>
  <si>
    <t>1010000000</t>
  </si>
  <si>
    <t>Организация работы по предупреждению и профилактике правонарушений, совершаемых на улицах и в общественных местах города, в том числе и в рамках внедрения и дальнейшего развития на территории городского округа аппаратно-программного комплекса "Безопасный город"</t>
  </si>
  <si>
    <t>1010300000</t>
  </si>
  <si>
    <t>Проведение мероприятий по развитию АПК "Безопасный город"</t>
  </si>
  <si>
    <t>1010320990</t>
  </si>
  <si>
    <t>10103S3100</t>
  </si>
  <si>
    <t>Подпрограмма "Профилактика терроризма и экстремизма на территории городского округа "Город Южно-Сахалинск" на 2015-2020 годы"</t>
  </si>
  <si>
    <t>1030000000</t>
  </si>
  <si>
    <t>Проведение профилактических мероприятий пропагандистского и воспитательного характера по формированию у населения толерантного поведения к людям других национальностей и религиозных конфессий, в том числе снятие социальной напряженности в подростковой и молодежной среде, в том числе привлечение представителей общественных объединений и иных некоммерческих организаций к активному участию в мероприятиях, посвященных государственным праздникам, памятным дням и иным областным и городским мероприятиям</t>
  </si>
  <si>
    <t>1030100000</t>
  </si>
  <si>
    <t>1030100590</t>
  </si>
  <si>
    <t>НАЦИОНАЛЬНАЯ ЭКОНОМИКА</t>
  </si>
  <si>
    <t>0400</t>
  </si>
  <si>
    <t>Общеэкономические вопросы</t>
  </si>
  <si>
    <t>0401</t>
  </si>
  <si>
    <t>Муниципальная программа "Повышение эффективности молодежной политики в городском округе "Город Южно-Сахалинск" на 2015-2020 годы"</t>
  </si>
  <si>
    <t>1800000000</t>
  </si>
  <si>
    <t>Оказание поддержки в сфере молодежной политики</t>
  </si>
  <si>
    <t>1800100000</t>
  </si>
  <si>
    <t>1800100590</t>
  </si>
  <si>
    <t>Сельское хозяйство и рыболовство</t>
  </si>
  <si>
    <t>0405</t>
  </si>
  <si>
    <t>Муниципальная программа "Развитие в городском округе "Город Южно-Сахалинск" сельского хозяйства и регулирование рынков сельскохозяйственной продукции, сырья и продовольствия на 2015-2020 годы"</t>
  </si>
  <si>
    <t>0800000000</t>
  </si>
  <si>
    <t>Предоставление субсидии из бюджета городского округа на возмещение части затрат сельскохозяйственным товаропроизводителям на повышение плодородия земель, занятых под картофель, овощи и кормовые угодья</t>
  </si>
  <si>
    <t>0800100000</t>
  </si>
  <si>
    <t xml:space="preserve">Субсидия на возмещение части затрат сельскохозяйственным товаропроизводителям на повышение плодородия земель, занятых под картофель, овощи и кормовые угодья   </t>
  </si>
  <si>
    <t>0800180110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</si>
  <si>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</si>
  <si>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810</t>
  </si>
  <si>
    <t>Предоставление субсидии из бюджета городского округа владельцам личных подсобных хозяйств на возмещение части затрат по производству и поставке молока перерабатывающим предприятиям</t>
  </si>
  <si>
    <t>0800300000</t>
  </si>
  <si>
    <t>Субсидия владельцам личных подсобных хозяйств на возмещение части затрат по производству и поставке молока перерабатывающим предприятиям</t>
  </si>
  <si>
    <t>0800380130</t>
  </si>
  <si>
    <t>Организация городских сельскохозяйственных ярмарок</t>
  </si>
  <si>
    <t>0800600000</t>
  </si>
  <si>
    <t>0800620990</t>
  </si>
  <si>
    <t>Водное хозяйство</t>
  </si>
  <si>
    <t>0406</t>
  </si>
  <si>
    <t>Подпрограмма "Развитие водохозяйственного комплекса в городском округе "Город Южно-Сахалинск"</t>
  </si>
  <si>
    <t>2230000000</t>
  </si>
  <si>
    <t xml:space="preserve">Восстановление и экологическая реабилитация водных объектов </t>
  </si>
  <si>
    <t>2230200000</t>
  </si>
  <si>
    <t>Бюджетные инвестиции в объекты капитального строительства государственной (муниципальной) собственности</t>
  </si>
  <si>
    <t xml:space="preserve">Софинансирование мероприятий по охране окружающей среды, экологической реабилитации и воспроизводству природных объектов </t>
  </si>
  <si>
    <t>22302S3120</t>
  </si>
  <si>
    <t>Транспорт</t>
  </si>
  <si>
    <t>0408</t>
  </si>
  <si>
    <t>Дорожное хозяйство (дорожные фонды)</t>
  </si>
  <si>
    <t>0409</t>
  </si>
  <si>
    <t>Подпрограмма "Модернизация и развитие улично-дорожной сети, автомобильных дорог общего пользования местного значения городского округа "Город Южно-Сахалинск" на 2015-2020 годы"</t>
  </si>
  <si>
    <t>0910000000</t>
  </si>
  <si>
    <t>Развитие дорожной инфраструктуры</t>
  </si>
  <si>
    <t>0910100000</t>
  </si>
  <si>
    <t>Выполнение научно-исследовательских и опытно-конструкторских работ в сфере дорожного хозяйства, капитальный ремонт, ремонт и содержание улично-дорожной сети, автомобильных дорог общего пользования местного значения, элементов их обустройства и искусственных сооружений на них</t>
  </si>
  <si>
    <t>0910120080</t>
  </si>
  <si>
    <t xml:space="preserve">Бюджетные инвестиции </t>
  </si>
  <si>
    <t>0910120980</t>
  </si>
  <si>
    <t>414</t>
  </si>
  <si>
    <t>Муниципальная программа "Жилищное хозяйство и благоустройство на территории городского округа "Город Южно-Сахалинск" на 2015-2020 годы"</t>
  </si>
  <si>
    <t>1200000000</t>
  </si>
  <si>
    <t>Содержание и ремонт объектов благоустройства</t>
  </si>
  <si>
    <t>1200400000</t>
  </si>
  <si>
    <t>1200420990</t>
  </si>
  <si>
    <t>Муниципальная программа "Обеспечение населения городского округа "Город Южно-Сахалинск" качественным жильем на 2015-2020 годы"</t>
  </si>
  <si>
    <t>1500000000</t>
  </si>
  <si>
    <t>Подпрограмма  "Строительство инженерной и транспортной инфраструктуры"</t>
  </si>
  <si>
    <t>1550000000</t>
  </si>
  <si>
    <t>Софинансирование мероприятий государственной программы Сахалинской области "Обеспечение населения Сахалинской области качественным жильём на 2014-2020 годы"</t>
  </si>
  <si>
    <t>Софинансирование субсидии областного бюджета на софинансирование капитальных вложений в объекты муниципальной собственности</t>
  </si>
  <si>
    <t>Обеспечение (строительство, реконструкция), земельных участков инженерной и транспортной инфраструктурой, приобретение объектов инженерной и транспортной инфраструктуры</t>
  </si>
  <si>
    <t>1550300000</t>
  </si>
  <si>
    <t>Мероприятия государственной программы Сахалинской области "Обеспечение населения Сахалинской области качественным жильём на 2014-2020 годы"</t>
  </si>
  <si>
    <t>Обустройство, формирование земельных участков, подлежащих предоставлению семьям, имеющим трех и более детей</t>
  </si>
  <si>
    <t>1550500000</t>
  </si>
  <si>
    <t>Другие вопросы в области национальной экономики</t>
  </si>
  <si>
    <t>0412</t>
  </si>
  <si>
    <t>Муниципальная программа "Совершенствование системы управления муниципальным имуществом городского округа "Город Южно-Сахалинск" на 2015-2020 годы"</t>
  </si>
  <si>
    <t>0200000000</t>
  </si>
  <si>
    <t>Совершенствование системы учёта объектов муниципальной собственности в Реестре имущества городского округа "Город Южно-Сахалинск"</t>
  </si>
  <si>
    <t>0200200000</t>
  </si>
  <si>
    <t>0200220990</t>
  </si>
  <si>
    <t>Создание условий для повышения эффективности управления муниципальным имуществом</t>
  </si>
  <si>
    <t>0200300000</t>
  </si>
  <si>
    <t>0200320990</t>
  </si>
  <si>
    <t>Содержание имущества казны городского округа "Город Южно-Сахалинск"</t>
  </si>
  <si>
    <t>0200400000</t>
  </si>
  <si>
    <t>0200420990</t>
  </si>
  <si>
    <t>Изъятие земельных участков и объектов недвижимости на территории городского округа "Город Южно-Сахалинск", в том числе определение выкупной цены, оплата выкупной стоимости</t>
  </si>
  <si>
    <t>0200500000</t>
  </si>
  <si>
    <t>0200520990</t>
  </si>
  <si>
    <t>Иные выплаты населению</t>
  </si>
  <si>
    <t>Предоставление субсидий субъектам инвестиционной деятельности</t>
  </si>
  <si>
    <t>0500300000</t>
  </si>
  <si>
    <t>Финансовая поддержка субъектов инвестиционной деятельности</t>
  </si>
  <si>
    <t>0500380080</t>
  </si>
  <si>
    <t>Финансовая поддержка субъектов малого и среднего предпринимательства городского округа "Город Южно-Сахалинск"</t>
  </si>
  <si>
    <t>0600100000</t>
  </si>
  <si>
    <t>Предоставление субсидий субъектам малого и среднего предпринимательства городского округа "Город Южно-Сахалинск"</t>
  </si>
  <si>
    <t>0600180090</t>
  </si>
  <si>
    <t>ЖИЛИЩНО-КОММУНАЛЬНОЕ ХОЗЯЙСТВО</t>
  </si>
  <si>
    <t>0500</t>
  </si>
  <si>
    <t>Жилищное хозяйство</t>
  </si>
  <si>
    <t>0501</t>
  </si>
  <si>
    <t>Капитальный ремонт жилищного фонда</t>
  </si>
  <si>
    <t>1200100000</t>
  </si>
  <si>
    <t>1200120990</t>
  </si>
  <si>
    <t>Поддержка населения при газификации жилищного фонда</t>
  </si>
  <si>
    <t>1400200000</t>
  </si>
  <si>
    <t>Организация электро- тепло- газоснабжения за счёт межбюджетных трансфертов</t>
  </si>
  <si>
    <t>1400263160</t>
  </si>
  <si>
    <t>Социальные выплаты гражданам, кроме публичных нормативных социальных выплат</t>
  </si>
  <si>
    <t>Подпрограмма "Переселение граждан из аварийного и непригодного для проживания жилищного фонда на территории городского округа "Город Южно-Сахалинск" в 2015-2020 годах"</t>
  </si>
  <si>
    <t>1510000000</t>
  </si>
  <si>
    <t>Бюджетные инвестиции на приобретение объектов недвижимого имущества в государственную (муниципальную) собственность</t>
  </si>
  <si>
    <t>Строительство многоквартирных жилых домов для граждан, переселяемых из аварийного и непригодного для проживания жилищного фонда</t>
  </si>
  <si>
    <t>1511000000</t>
  </si>
  <si>
    <t>Подпрограмма "Строительство жилья в городском округе "Город Южно-Сахалинск" на 2015-2020 годы"</t>
  </si>
  <si>
    <t>1520000000</t>
  </si>
  <si>
    <t>Коммунальное хозяйство</t>
  </si>
  <si>
    <t>0502</t>
  </si>
  <si>
    <t>Возмещение юридическим лицам, индивидуальным предпринимателям, оказывающим услуги бань населению, части экономически обоснованных затрат по содержанию бань</t>
  </si>
  <si>
    <t>0700200000</t>
  </si>
  <si>
    <t>Субсидия на возмещение части экономически обоснованных затрат по содержанию бань</t>
  </si>
  <si>
    <t>0700280100</t>
  </si>
  <si>
    <t>Муниципальная программа "Развитие коммунальной инфраструктуры городского округа "Город Южно-Сахалинск" на 2015-2020 годы"</t>
  </si>
  <si>
    <t>1100000000</t>
  </si>
  <si>
    <t>Реконструкция и строительство объектов инженерной инфраструктуры</t>
  </si>
  <si>
    <t>1100100000</t>
  </si>
  <si>
    <t>11001S3500</t>
  </si>
  <si>
    <t>Капитальный ремонт объектов коммунальной инфраструктуры для существующей застройки</t>
  </si>
  <si>
    <t>1100500000</t>
  </si>
  <si>
    <t>11005S3060</t>
  </si>
  <si>
    <t>Муниципальная программа "Энергосбережение и повышение энергетической эффективности городского округа "Город Южно-Сахалинск" на 2015-2020 годы"</t>
  </si>
  <si>
    <t>1300000000</t>
  </si>
  <si>
    <t>Муниципальная программа "Газификация городского округа "Город Южно-Сахалинск" на 2015-2020 годы"</t>
  </si>
  <si>
    <t>1400000000</t>
  </si>
  <si>
    <t>Развитие систем газификации</t>
  </si>
  <si>
    <t>1400100000</t>
  </si>
  <si>
    <t xml:space="preserve">Софинансирование мероприятий по организации электро-, тепло- и газоснабжения </t>
  </si>
  <si>
    <t>14001S3500</t>
  </si>
  <si>
    <t>Подпрограмма "Строительство инженерной и транспортной инфраструктуры"</t>
  </si>
  <si>
    <t>Благоустройство</t>
  </si>
  <si>
    <t>0503</t>
  </si>
  <si>
    <t xml:space="preserve"> Содержание и ремонт объектов благоустройства</t>
  </si>
  <si>
    <t>Муниципальная программа "Развитие физической культуры и спорта в городском округе "Город Южно-Сахалинск" на 2015-2020 годы"</t>
  </si>
  <si>
    <t>1700000000</t>
  </si>
  <si>
    <t>1700300000</t>
  </si>
  <si>
    <t>Муниципальная программа "Совершенствование пространственной организации территории городского округа "Город Южно-Сахалинск" на 2015-2020 годы"</t>
  </si>
  <si>
    <t>2600000000</t>
  </si>
  <si>
    <t>Подпрограмма " Реконструкция скверов, бульваров и зеленых ландшафтных зон на территории городского округа "Город Южно-Сахалинск" на 2015-2020 годы"</t>
  </si>
  <si>
    <t>2620000000</t>
  </si>
  <si>
    <t>Реконструкция скверов</t>
  </si>
  <si>
    <t>2620100000</t>
  </si>
  <si>
    <t>2620120980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</si>
  <si>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</si>
  <si>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</si>
  <si>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</si>
  <si>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</si>
  <si>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"Охрана окружающей среды на территории городского округа "Город Южно-Сахалинск" на 2015-2020 годы"</t>
  </si>
  <si>
    <t>2000000000</t>
  </si>
  <si>
    <t>Создание благоприятной окружающей среды на территории городского округа "Город Южно-Сахалинск"</t>
  </si>
  <si>
    <t>2000100000</t>
  </si>
  <si>
    <t>2000120990</t>
  </si>
  <si>
    <t>2010000000</t>
  </si>
  <si>
    <t>Обеспечение экологической безопасности жителей городского округа в сфере обращения с отходами производства и потребления</t>
  </si>
  <si>
    <t>2010200000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</si>
  <si>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</si>
  <si>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</si>
  <si>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</si>
  <si>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</si>
  <si>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в городском округе "Город Южно-Сахалинск" на 2015-2020 годы"</t>
  </si>
  <si>
    <t>0100000000</t>
  </si>
  <si>
    <t>Подпрограмма "Безопасность образовательных учреждений"</t>
  </si>
  <si>
    <t>0150000000</t>
  </si>
  <si>
    <t>Обеспечение пожарной безопасности на территориях образовательных организаций</t>
  </si>
  <si>
    <t>0150200000</t>
  </si>
  <si>
    <t>0170000000</t>
  </si>
  <si>
    <t>Софинансирование мероприятий государственной программы Сахалинской области "Развитие образования в Сахалинской области на 2014-2020 годы"</t>
  </si>
  <si>
    <t>Капитальный ремонт дошкольных образовательных учреждений</t>
  </si>
  <si>
    <t>0170500000</t>
  </si>
  <si>
    <t>0170520990</t>
  </si>
  <si>
    <t>Общее образование</t>
  </si>
  <si>
    <t>0702</t>
  </si>
  <si>
    <t>Строительство, реконструкция общеобразовательных учреждений</t>
  </si>
  <si>
    <t>0170100000</t>
  </si>
  <si>
    <t>01701S3500</t>
  </si>
  <si>
    <t>Капитальный ремонт общеобразовательных учреждений</t>
  </si>
  <si>
    <t>0170400000</t>
  </si>
  <si>
    <t>01704S3010</t>
  </si>
  <si>
    <t>1700400000</t>
  </si>
  <si>
    <t>Муниципальная программа "Развитие культуры в городском округе "Город Южно-Сахалинск" на 2015-2020 годы"</t>
  </si>
  <si>
    <t>1900000000</t>
  </si>
  <si>
    <t>1900600000</t>
  </si>
  <si>
    <t>0707</t>
  </si>
  <si>
    <t>Выявление и устранение причин и условий, способствующих совершению правонарушений среди несовершеннолетних и молодежи</t>
  </si>
  <si>
    <t>1010100000</t>
  </si>
  <si>
    <t>1010100590</t>
  </si>
  <si>
    <t>Подпрограмма "Комплексные меры противодействия злоупотреблению наркотиками и их незаконному обороту в городском округе "Город Южно-Сахалинск" на 2015-2020 годы"</t>
  </si>
  <si>
    <t>1020000000</t>
  </si>
  <si>
    <t>Осуществление антинаркотической пропаганды и формирование негативного общественного мнения к потреблению наркотиков</t>
  </si>
  <si>
    <t>1020300000</t>
  </si>
  <si>
    <t>1020383010</t>
  </si>
  <si>
    <t>Совершенствование системы патриотического воспитания и допризывной подготовки молодежи</t>
  </si>
  <si>
    <t>1800400000</t>
  </si>
  <si>
    <t>1800400590</t>
  </si>
  <si>
    <t>Мероприятия по финансовому обеспечению муниципального задания на оказание муниципальных услуг (выполнение работ) муниципальным бюджетным учреждением</t>
  </si>
  <si>
    <t>1800500000</t>
  </si>
  <si>
    <t>1800500590</t>
  </si>
  <si>
    <t>Другие вопросы в области образования</t>
  </si>
  <si>
    <t>0709</t>
  </si>
  <si>
    <t>Вовлечение молодежи к предпринимательской деятельности</t>
  </si>
  <si>
    <t>0600500000</t>
  </si>
  <si>
    <t>КУЛЬТУРА, КИНЕМАТОГРАФИЯ</t>
  </si>
  <si>
    <t>0800</t>
  </si>
  <si>
    <t>Культура</t>
  </si>
  <si>
    <t>0801</t>
  </si>
  <si>
    <t>Иные мероприятия в сфере культуры</t>
  </si>
  <si>
    <t>СОЦИАЛЬНАЯ ПОЛИТИКА</t>
  </si>
  <si>
    <t>1000</t>
  </si>
  <si>
    <t>Пенсионное обеспечение</t>
  </si>
  <si>
    <t>1001</t>
  </si>
  <si>
    <t>Пенсия за выслугу лет и ежемесячная доплата к государственной пенсии</t>
  </si>
  <si>
    <t>1600100000</t>
  </si>
  <si>
    <t>1600140100</t>
  </si>
  <si>
    <t>Публичные нормативные социальные выплаты гражданам</t>
  </si>
  <si>
    <t>Социальное обеспечение населения</t>
  </si>
  <si>
    <t>1003</t>
  </si>
  <si>
    <t>1400240115</t>
  </si>
  <si>
    <t>14002S3160</t>
  </si>
  <si>
    <t>Предоставление социальных выплат отдельным категориям граждан для обеспечения жильем</t>
  </si>
  <si>
    <t>1520400000</t>
  </si>
  <si>
    <t>Подпрограмма "Обеспечение жильем молодых семей на 2015-2020 годы"</t>
  </si>
  <si>
    <t>1530000000</t>
  </si>
  <si>
    <t>Финансирование свидетельств о праве на получение социальной выплаты на приобретение (Строительство) жилья за счет всех источников финансирования, в том числе личных средств граждан</t>
  </si>
  <si>
    <t>1530100000</t>
  </si>
  <si>
    <t>Софинансирование мероприятий по государственной поддержке на улучшение жилищных условий молодых семей</t>
  </si>
  <si>
    <t>Ежемесячное материальное обеспечение лицам, которым присвоено звание "Почетный гражданин города Южно-Сахалинска"</t>
  </si>
  <si>
    <t>1600200000</t>
  </si>
  <si>
    <t>1600240101</t>
  </si>
  <si>
    <t>Предоставление мер социальной поддержки отдельным категориям работников бюджетной сферы, вышедшим на пенсию</t>
  </si>
  <si>
    <t>1600300000</t>
  </si>
  <si>
    <t>1600340102</t>
  </si>
  <si>
    <t>Ежемесячная доплата участникам ВОВ, бывшим несовершеннолетним узникам фашизма, гражданам, награжденным знаком "Житель блокадного Ленинграда", участникам ТФ</t>
  </si>
  <si>
    <t>1620100000</t>
  </si>
  <si>
    <t>1620140103</t>
  </si>
  <si>
    <t>Единовременная денежная выплата к 9 мая</t>
  </si>
  <si>
    <t>1620200000</t>
  </si>
  <si>
    <t>1620240104</t>
  </si>
  <si>
    <t>Материальная помощь совершеннолетним воспитанникам детских домов в возрасте от 18 до 23 лет</t>
  </si>
  <si>
    <t>1620300000</t>
  </si>
  <si>
    <t>1620340105</t>
  </si>
  <si>
    <t>Материальная помощь семьям при рождении одновременно 3-х и более детей</t>
  </si>
  <si>
    <t>1620400000</t>
  </si>
  <si>
    <t>1620440106</t>
  </si>
  <si>
    <t>Частичная компенсация стоимости проездного билета на проезд в городском транспорте льготным категориям граждан</t>
  </si>
  <si>
    <t>1620500000</t>
  </si>
  <si>
    <t>1620540107</t>
  </si>
  <si>
    <t>Доплата к ежемесячному пособию на ребенка семьям, имеющим детей, которым назначена пенсия по случаю потери кормильца, и детей, которым назначена пенсия по инвалидности</t>
  </si>
  <si>
    <t>1620600000</t>
  </si>
  <si>
    <t>1620640108</t>
  </si>
  <si>
    <t>Единовременная выплата детям-инвалидам и детям, потерявшим кормильца, к 1 сентября</t>
  </si>
  <si>
    <t>1620700000</t>
  </si>
  <si>
    <t>1620740109</t>
  </si>
  <si>
    <t>Материальная помощь гражданам, оказавшимся в трудной жизненной ситуации</t>
  </si>
  <si>
    <t>1620800000</t>
  </si>
  <si>
    <t>1620840110</t>
  </si>
  <si>
    <t>Денежная выплата врачам амбулаторно-поликлинического звена учреждений здравоохранения, расположенных на территории городского округа "Город Южно-Сахалинск"</t>
  </si>
  <si>
    <t>1621000000</t>
  </si>
  <si>
    <t>1621040111</t>
  </si>
  <si>
    <t>Дополнительная мера социальной  поддержки по обеспечению отдельных категорий граждан льготным проездом в городском транспорте общего пользования</t>
  </si>
  <si>
    <t>1621100000</t>
  </si>
  <si>
    <t>1621140112</t>
  </si>
  <si>
    <t>Материальная помощь семьям, имеющим несовершеннолетних детей, находящимся в трудной жизненной ситуации</t>
  </si>
  <si>
    <t>1621200000</t>
  </si>
  <si>
    <t>1621240113</t>
  </si>
  <si>
    <t>Охрана семьи и детства</t>
  </si>
  <si>
    <t>1004</t>
  </si>
  <si>
    <t>Подпрограмма "Развитие системы воспитания, дополнительного образования и социальной защиты детей"</t>
  </si>
  <si>
    <t>0130000000</t>
  </si>
  <si>
    <t>Социальная защита</t>
  </si>
  <si>
    <t>0130300000</t>
  </si>
  <si>
    <t>0130362600</t>
  </si>
  <si>
    <t>412</t>
  </si>
  <si>
    <t>Другие вопросы в области социальной политики</t>
  </si>
  <si>
    <t>1006</t>
  </si>
  <si>
    <t>Подпрограмма "Город без границ на 2015-2020 годы"</t>
  </si>
  <si>
    <t>1610000000</t>
  </si>
  <si>
    <t>Адаптация объектов инфраструктуры для маломобильных групп населения</t>
  </si>
  <si>
    <t>1610100000</t>
  </si>
  <si>
    <t>1610120980</t>
  </si>
  <si>
    <t>1610120990</t>
  </si>
  <si>
    <t>Создание условий для полноценной жизни инвалидов, их интеграции в общество</t>
  </si>
  <si>
    <t>1610200000</t>
  </si>
  <si>
    <t>1610220990</t>
  </si>
  <si>
    <t>Финансовая поддержка на развитие уставной деятельности местных общественных организаций, осуществляющих социальную поддержку и защиту инвалидов</t>
  </si>
  <si>
    <t>1610300000</t>
  </si>
  <si>
    <t>1610383020</t>
  </si>
  <si>
    <t>Субсидии некоммерческим организациям (за исключением государственных (муниципальных) учреждений)</t>
  </si>
  <si>
    <t>Оказание материальной помощи инвалидам, оказавшимся в трудной жизненной ситуации</t>
  </si>
  <si>
    <t>1610400000</t>
  </si>
  <si>
    <t>1610440114</t>
  </si>
  <si>
    <t>Строительство (приобретение) жилых помещений для предоставления многодетным семьям, имеющим 3 и более детей, нуждающимся в улучшении жилищных условий жилого помещения по договору социального найма</t>
  </si>
  <si>
    <t>1621320980</t>
  </si>
  <si>
    <t>ФИЗИЧЕСКАЯ КУЛЬТУРА И СПОРТ</t>
  </si>
  <si>
    <t>1100</t>
  </si>
  <si>
    <t>Массовый спорт</t>
  </si>
  <si>
    <t>1102</t>
  </si>
  <si>
    <t xml:space="preserve"> Строительство, реконструкция, капитальный ремонт, ремонт спортивных объектов и сооружений на территории городского округа "Город Южно-Сахалинск"</t>
  </si>
  <si>
    <t>17004S3500</t>
  </si>
  <si>
    <t>СРЕДСТВА МАССОВОЙ ИНФОРМАЦИИ</t>
  </si>
  <si>
    <t>1200</t>
  </si>
  <si>
    <t>Периодическая печать и издательства</t>
  </si>
  <si>
    <t>1202</t>
  </si>
  <si>
    <t>Подпрограмма "Информирование населения о деятельности органов местного самоуправления на территории городского округа "Город Южно-Сахалинск" на 2015-2020 годы"</t>
  </si>
  <si>
    <t>2320000000</t>
  </si>
  <si>
    <t>Информирование населения о деятельности органов МСУ городского округа "Город Южно-Сахалинск"</t>
  </si>
  <si>
    <t>2320100000</t>
  </si>
  <si>
    <t>2320100590</t>
  </si>
  <si>
    <t>Другие вопросы в области средств массовой информации</t>
  </si>
  <si>
    <t>2320120990</t>
  </si>
  <si>
    <t>Департамент финансов администрации города Южно-Сахалинска</t>
  </si>
  <si>
    <t>904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</si>
  <si>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</si>
  <si>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</si>
  <si>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</si>
  <si>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</si>
  <si>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средства администрации города</t>
  </si>
  <si>
    <t>5620071000</t>
  </si>
  <si>
    <t>Резервные средства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</si>
  <si>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</si>
  <si>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</si>
  <si>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</si>
  <si>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</si>
  <si>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2100000000</t>
  </si>
  <si>
    <t>Повышение эффективности управления муниципальным долгом</t>
  </si>
  <si>
    <t>2100273000</t>
  </si>
  <si>
    <t>Обслуживание муниципального долга</t>
  </si>
  <si>
    <t>730</t>
  </si>
  <si>
    <t>905</t>
  </si>
  <si>
    <t>Обеспечение условий для приостановления роста потребления наркотических средств без назначения врача и их незаконному обороту</t>
  </si>
  <si>
    <t>1020100000</t>
  </si>
  <si>
    <t>1020120990</t>
  </si>
  <si>
    <t>Учреждение по организации информационно-финансового обеспечения земельными ресурсами городского округа</t>
  </si>
  <si>
    <t>5610800000</t>
  </si>
  <si>
    <t>5610800590</t>
  </si>
  <si>
    <t>1560000000</t>
  </si>
  <si>
    <t>Подготовка, (корректировка) градостроительной документации (территориального планирования и по планировке территории)</t>
  </si>
  <si>
    <t>1560100000</t>
  </si>
  <si>
    <t>1560120990</t>
  </si>
  <si>
    <t>Организация и проведение публичных слушаний</t>
  </si>
  <si>
    <t>1560200000</t>
  </si>
  <si>
    <t>1560220990</t>
  </si>
  <si>
    <t>Подготовка, обновление топографических карт и планов населённых пунктов городского округа в масштабах 1:5000, 1:2000, 1:500</t>
  </si>
  <si>
    <t>1560600000</t>
  </si>
  <si>
    <t>Организация работ по подготовке к праздничным мероприятиям городского округа "Город Южно-Сахалинск"</t>
  </si>
  <si>
    <t>1200700000</t>
  </si>
  <si>
    <t>1200720990</t>
  </si>
  <si>
    <t>Ведомственная целевая программа "Освобождение земельных участков от некапитальных гаражей, самовольно (незаконно) установленных на территории городского округа "Город Южно-Сахалинск" на 2015-2020 годы"</t>
  </si>
  <si>
    <t>2630000000</t>
  </si>
  <si>
    <t>Освобождение земельных участков городского округа "Город Южно-Сахалинск" от самовольно (незаконно) размещённых некапитальных гаражей</t>
  </si>
  <si>
    <t>263В200000</t>
  </si>
  <si>
    <t>263В220990</t>
  </si>
  <si>
    <t>Департамент образования администрации города Южно-Сахалинска</t>
  </si>
  <si>
    <t>907</t>
  </si>
  <si>
    <t>Подпрограмма "Организация отдыха, оздоровления и занятости детей, подростков и молодежи"</t>
  </si>
  <si>
    <t>0140000000</t>
  </si>
  <si>
    <t>Организация содержательного досуга и занятости несовершеннолетних в каникулярный период</t>
  </si>
  <si>
    <t>0140400000</t>
  </si>
  <si>
    <t>0140400590</t>
  </si>
  <si>
    <t>Реализация Закона Сахалинской области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 за счет межбюджетных трансфертов</t>
  </si>
  <si>
    <t>0140462180</t>
  </si>
  <si>
    <t>Подпрограмма "Отходы производства и потребления в городском округе "Город Южно-Сахалинск" "</t>
  </si>
  <si>
    <t>2010200590</t>
  </si>
  <si>
    <t>Подпрограмма "Повышение качества и доступности дошкольного образования"</t>
  </si>
  <si>
    <t>0110000000</t>
  </si>
  <si>
    <t>Формирование механизмов, обеспечивающих равный доступ всех категорий населения к услугам дошкольного образования</t>
  </si>
  <si>
    <t>0110100000</t>
  </si>
  <si>
    <t>Субвенция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</si>
  <si>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0110162240</t>
  </si>
  <si>
    <t>Повышение качества образования, направленное на разработку и внедрение механизмов обеспечения высокого качества дошкольного образования, внедрение инновационных, в том числе информационных технологий</t>
  </si>
  <si>
    <t>0110200000</t>
  </si>
  <si>
    <t>0110200590</t>
  </si>
  <si>
    <t xml:space="preserve">Субвенция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(на учебно-вспомогательные пособия)
</t>
  </si>
  <si>
    <t>0110262240</t>
  </si>
  <si>
    <t>0150200590</t>
  </si>
  <si>
    <t>Обеспечение антитеррористической защищенности на территориях образовательных организаций</t>
  </si>
  <si>
    <t>0150300000</t>
  </si>
  <si>
    <t>0150300590</t>
  </si>
  <si>
    <t>Подпрограмма "Развитие кадрового потенциала"</t>
  </si>
  <si>
    <t>0160000000</t>
  </si>
  <si>
    <t xml:space="preserve">Предоставление мер социальной поддержки работникам образовательных организаций в соответствии с законами Сахалинской области
</t>
  </si>
  <si>
    <t>0160100000</t>
  </si>
  <si>
    <t>0160162100</t>
  </si>
  <si>
    <t>0170500590</t>
  </si>
  <si>
    <t>Подпрограмма "Здоровое питание"</t>
  </si>
  <si>
    <t>0180000000</t>
  </si>
  <si>
    <t>Обеспечение питанием учащихся и воспитанников образовательных организаций</t>
  </si>
  <si>
    <t>0180600000</t>
  </si>
  <si>
    <t>0180600590</t>
  </si>
  <si>
    <t>Подпрограмма "Повышение качества и доступности общего образования"</t>
  </si>
  <si>
    <t>0120000000</t>
  </si>
  <si>
    <t>Повышение качества образования</t>
  </si>
  <si>
    <t>0120200000</t>
  </si>
  <si>
    <t>0120200590</t>
  </si>
  <si>
    <t>Субвенция на реализацию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</si>
  <si>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0120262230</t>
  </si>
  <si>
    <t>Развитие инклюзивного образования</t>
  </si>
  <si>
    <t>0120300000</t>
  </si>
  <si>
    <t>0120300590</t>
  </si>
  <si>
    <t>Повышение качества дополнительного образования</t>
  </si>
  <si>
    <t>0130200000</t>
  </si>
  <si>
    <t>0130200590</t>
  </si>
  <si>
    <t>Повышение престижа педагогической профессии, формирование позитивного образа современного учителя</t>
  </si>
  <si>
    <t>0160500000</t>
  </si>
  <si>
    <t>Благоустройство территории общеобразовательных учреждений</t>
  </si>
  <si>
    <t>0170700000</t>
  </si>
  <si>
    <t>Субсидия субъектам малого и среднего предпринимательства на возмещение расходов (компенсацию затрат), связанных с организацией питания обучающихся</t>
  </si>
  <si>
    <t>0180680020</t>
  </si>
  <si>
    <t>Субвенция на реализацию Закона Сахалинской области от 8 октября 2008 года № 98-ЗО «О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организациях»</t>
  </si>
  <si>
    <t>0180662190</t>
  </si>
  <si>
    <t>Обеспечение безопасных условий организации отдыха и занятости детей в каникулярный период</t>
  </si>
  <si>
    <t>0140100000</t>
  </si>
  <si>
    <t>0140100590</t>
  </si>
  <si>
    <t>Укрепление материально-технической базы оздоровительных лагерей</t>
  </si>
  <si>
    <t>0140200000</t>
  </si>
  <si>
    <t>0140200590</t>
  </si>
  <si>
    <t>Учебно-методическое и информационное обеспечение организации отдыха и занятости детей и подростков в каникулярный период</t>
  </si>
  <si>
    <t>0140300000</t>
  </si>
  <si>
    <t>0140300590</t>
  </si>
  <si>
    <t>0140420990</t>
  </si>
  <si>
    <t>Выявление и поддержка одаренных детей</t>
  </si>
  <si>
    <t>0120400000</t>
  </si>
  <si>
    <t>Поддержка талантливых детей, молодежи, работников, творческих коллективов  в сфере образования, культуры и искусства, физической культуры и спорта, молодежной политики в виде премий, разовых стипендий</t>
  </si>
  <si>
    <t>0120472010</t>
  </si>
  <si>
    <t>Премия поддержки Городской Думы в сфере образования, культуры и искусства</t>
  </si>
  <si>
    <t>0120472020</t>
  </si>
  <si>
    <t>Поддержка и распространение лучших образцов педагогической практики</t>
  </si>
  <si>
    <t>0120500000</t>
  </si>
  <si>
    <t>0120572010</t>
  </si>
  <si>
    <t>Осуществление полномочий по обеспечению содержания зданий и сооружений муниципальных образовательных организаций, обустройству прилегающих к ним территорий</t>
  </si>
  <si>
    <t>0160572010</t>
  </si>
  <si>
    <t>Поддержка мер предоставления социальной выплаты для погашения части расходов участника программы на уплату процентов</t>
  </si>
  <si>
    <t>0160600000</t>
  </si>
  <si>
    <t>0160620990</t>
  </si>
  <si>
    <t>Субсидия субъектам малого и среднего предпринимательства на возмещение расходов (компенсацию затрат), связанных с оказанием услуг дошкольного образования, присмотра и ухода</t>
  </si>
  <si>
    <t>0600180030</t>
  </si>
  <si>
    <t>Субсидия субъектам малого и среднего предпринимательства на возмещение расходов (компенсацию затрат), связанных с  осуществлением деятельности по предоставлению услуг дополнительного образования детей</t>
  </si>
  <si>
    <t>0600180040</t>
  </si>
  <si>
    <t>Подпрограмма "Профилактика правонарушений в городском округе "Город Южно-Сахалинск" на 2015-2020 годы"</t>
  </si>
  <si>
    <t>Совершенствование системы профилактики потребления наркотиков без назначения врача среди детей и подростков</t>
  </si>
  <si>
    <t>1020200000</t>
  </si>
  <si>
    <t>1020220990</t>
  </si>
  <si>
    <t>1020200590</t>
  </si>
  <si>
    <t>Информационно-методическое обеспечение профилактики терроризма, этнического и религиозного экстремизма</t>
  </si>
  <si>
    <t>1030200000</t>
  </si>
  <si>
    <t>1030200590</t>
  </si>
  <si>
    <t>Развитие массовой физической культуры и спорта</t>
  </si>
  <si>
    <t>1700100000</t>
  </si>
  <si>
    <t>1700120990</t>
  </si>
  <si>
    <t>Социальные гарантии работникам образования</t>
  </si>
  <si>
    <t>Социальные гарантии работникам учреждений социальной сферы</t>
  </si>
  <si>
    <t>0160140116</t>
  </si>
  <si>
    <t>Реализация Закона Сахалинской области "О дополнительных мерах социальной поддержки отдельной категории педагогических работников, проживающих и работающих в Сахалинской области" за счет межбюджетных трансферов</t>
  </si>
  <si>
    <t>0160162120</t>
  </si>
  <si>
    <t>Ежемесячная денежная выплата работникам образовательных учреждений, которым присвоено почетное звание «Заслуженный педагог Сахалинской области»</t>
  </si>
  <si>
    <t>0160170501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</si>
  <si>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</si>
  <si>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0160170601</t>
  </si>
  <si>
    <t>Ежемесячные денежные выплаты и компенсации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</si>
  <si>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0160170901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</si>
  <si>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в сфере образования" на питание учащихся за счет межбюджетных трансфертов</t>
  </si>
  <si>
    <t>0180662500</t>
  </si>
  <si>
    <t>Управление культуры администрации города Южно-Сахалинска</t>
  </si>
  <si>
    <t>913</t>
  </si>
  <si>
    <t>1900662100</t>
  </si>
  <si>
    <t>Развитие социально-культурной деятельности на территории городского округа</t>
  </si>
  <si>
    <t>1900700000</t>
  </si>
  <si>
    <t>1900700590</t>
  </si>
  <si>
    <t>Поддержка и развитие кадрового потенциала в сфере культуры, дополнительного образования в сфере культуры и искусства</t>
  </si>
  <si>
    <t>1900800000</t>
  </si>
  <si>
    <t>1900800590</t>
  </si>
  <si>
    <t>1900872010</t>
  </si>
  <si>
    <t>Развитие библиотечного дела</t>
  </si>
  <si>
    <t>1900200000</t>
  </si>
  <si>
    <t>1900200590</t>
  </si>
  <si>
    <t>Развитие исполнительских искусств</t>
  </si>
  <si>
    <t>1900300000</t>
  </si>
  <si>
    <t>1900300590</t>
  </si>
  <si>
    <t>Развитие культурно-досугового обслуживания</t>
  </si>
  <si>
    <t>1900400000</t>
  </si>
  <si>
    <t>1900400590</t>
  </si>
  <si>
    <t>Другие вопросы в области культуры, кинематографии</t>
  </si>
  <si>
    <t>0804</t>
  </si>
  <si>
    <t>Муниципальная программа "Устойчивое развитие коренных малочисленных народов Севера городского округа "Город Южно-Сахалинск" на 2015-2020 годы"</t>
  </si>
  <si>
    <t>0400000000</t>
  </si>
  <si>
    <t>Сохранение и возрождение национальных традиций, проведение этнокультурных мероприятий</t>
  </si>
  <si>
    <t>0400400000</t>
  </si>
  <si>
    <t>0400400590</t>
  </si>
  <si>
    <t>1900772020</t>
  </si>
  <si>
    <t>Социальные гарантии работникам учреждений культуры</t>
  </si>
  <si>
    <t>1900640116</t>
  </si>
  <si>
    <t>1900670901</t>
  </si>
  <si>
    <t>Ежемесячная денежная выплата работникам, имеющим почетное звание «Заслуженный работник культуры Сахалинской области»</t>
  </si>
  <si>
    <t>1900671901</t>
  </si>
  <si>
    <t>1900670501</t>
  </si>
  <si>
    <t>1900670601</t>
  </si>
  <si>
    <t>1610200590</t>
  </si>
  <si>
    <t>Департамент городского хозяйства администрации города Южно-Сахалинска</t>
  </si>
  <si>
    <t>915</t>
  </si>
  <si>
    <t>Учреждения по  организации мониторинга коммунального комплекса и санитарного состояния городского округа</t>
  </si>
  <si>
    <t>5610500000</t>
  </si>
  <si>
    <t>5610500590</t>
  </si>
  <si>
    <t>Техническая эксплуатация (содержание и ремонт) улично-дорожной сети, автомобильных дорог, элементов их обустройства, защитных и искусственных дорожных сооружений</t>
  </si>
  <si>
    <t>0910200000</t>
  </si>
  <si>
    <t>0910220080</t>
  </si>
  <si>
    <t>Осуществление функций административного центра Сахалинской области за счёт межбюджетных трансфертов</t>
  </si>
  <si>
    <t>0910263190</t>
  </si>
  <si>
    <t xml:space="preserve">Софинансирование субсидии на осуществление функций административного центра Сахалинской области </t>
  </si>
  <si>
    <t>09102S3190</t>
  </si>
  <si>
    <t>Строительство, содержание, ремонт и модернизация объектов светофорного регулирования</t>
  </si>
  <si>
    <t>0920100000</t>
  </si>
  <si>
    <t>0920180050</t>
  </si>
  <si>
    <t>Обустройство улично-дорожной сети дорожными знаками</t>
  </si>
  <si>
    <t>0920200000</t>
  </si>
  <si>
    <t>Обустройство опасных участков дорог преимущественно у дошкольных и школьных детских учреждений искусственными неровностями (ИДН)</t>
  </si>
  <si>
    <t>0920300000</t>
  </si>
  <si>
    <t>Нанесение линий дорожной разметки, в том числе повышенной светоотражающей способности</t>
  </si>
  <si>
    <t>0920400000</t>
  </si>
  <si>
    <t>1200480250</t>
  </si>
  <si>
    <t>Приобретение автомобильной и специализированной техники и прочего имущества</t>
  </si>
  <si>
    <t>1200800000</t>
  </si>
  <si>
    <t>1200820990</t>
  </si>
  <si>
    <t>1610120080</t>
  </si>
  <si>
    <t>Субсидия некоммерческим организациям на проведение капитального ремонта общего имущества в многоквартирных домах, расположенных на территории городского округа "Город Южно-Сахалинск"</t>
  </si>
  <si>
    <t>1200180170</t>
  </si>
  <si>
    <t>1200200000</t>
  </si>
  <si>
    <t>1200220990</t>
  </si>
  <si>
    <t xml:space="preserve">Субсидия на возмещение затрат управляющим организациям от оказания услуг по содержанию жилищного фонда </t>
  </si>
  <si>
    <t>Подпрограмма "Переселение граждан, проживающих в городском округе "Город Южно-Сахалинск"из аварийного и непригодного для проживания жилищного фонда"</t>
  </si>
  <si>
    <t>Признание в установленном порядке жилых домов аварийными или непригодными для проживания. Проведение обследования и предоставление заключений об аварийности жилых домов</t>
  </si>
  <si>
    <t>240</t>
  </si>
  <si>
    <t>1510500000</t>
  </si>
  <si>
    <t>15105S3030</t>
  </si>
  <si>
    <t>1510520990</t>
  </si>
  <si>
    <t>Актуализация перспективных схем коммунальной инфраструктуры городского округа "Город Южно-Сахалинск"</t>
  </si>
  <si>
    <t>1100600000</t>
  </si>
  <si>
    <t>1100620990</t>
  </si>
  <si>
    <t>1100700000</t>
  </si>
  <si>
    <t>Субсидия юридическим лицам (за исключением государственных (муниципальных)учреждений) и индивидуальным предпринимателям на возмещение затрат по оплате услуг информационных систем, обеспечивающих сбор, обработку и хранение данных о платежах за коммунальные услуги, выставление платежных документов на оплату коммунальных услуг</t>
  </si>
  <si>
    <t>Ликвидация несанкционированных свалок</t>
  </si>
  <si>
    <t>1200300000</t>
  </si>
  <si>
    <t>1200320990</t>
  </si>
  <si>
    <t>1200400590</t>
  </si>
  <si>
    <t>1200480050</t>
  </si>
  <si>
    <t>Содержание мест захоронений</t>
  </si>
  <si>
    <t>1200500000</t>
  </si>
  <si>
    <t>1200500590</t>
  </si>
  <si>
    <t>1200520990</t>
  </si>
  <si>
    <t>1200700590</t>
  </si>
  <si>
    <t>Другие вопросы в области жилищно-коммунального хозяйства</t>
  </si>
  <si>
    <t>0505</t>
  </si>
  <si>
    <t>Благоустройство территории дошкольных образовательных учреждений</t>
  </si>
  <si>
    <t>0170600000</t>
  </si>
  <si>
    <t>Управление по физической культуре и спорту администрации города Южно-Сахалинска</t>
  </si>
  <si>
    <t>918</t>
  </si>
  <si>
    <t>1700100590</t>
  </si>
  <si>
    <t>1700300590</t>
  </si>
  <si>
    <t>0140220990</t>
  </si>
  <si>
    <t>1700170601</t>
  </si>
  <si>
    <t>17001S3130</t>
  </si>
  <si>
    <t>Другие вопросы в области физической культуры и спорта</t>
  </si>
  <si>
    <t>1105</t>
  </si>
  <si>
    <t>Развитие национального спорта</t>
  </si>
  <si>
    <t>0400500000</t>
  </si>
  <si>
    <t>0400520990</t>
  </si>
  <si>
    <t>1700172010</t>
  </si>
  <si>
    <t>Итого</t>
  </si>
  <si>
    <t>0400162260</t>
  </si>
  <si>
    <t>Субвенция на реализацию Закона Сахалинской области от 15.05.2015 № 31-ЗО «О наделение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</si>
  <si>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0400762260</t>
  </si>
  <si>
    <t>0400662260</t>
  </si>
  <si>
    <t>1621400000</t>
  </si>
  <si>
    <t>1621440116</t>
  </si>
  <si>
    <t>Материальная помощь на оплату стоимости проезда детям из социально незащищенных семей к месту отдыха и оздоровления за пределы Сахалинской области на территории Российской Федерации</t>
  </si>
  <si>
    <t>1621500000</t>
  </si>
  <si>
    <t>1621540117</t>
  </si>
  <si>
    <t>Материальная помощь на проведение внеплановых аварийных и ремонтных работ ветеранам Великой Отечественной войны 1941-1945 годов, бывшим несовершеннолетним узникам концлагерей, гетто и других мест принудительного содержания</t>
  </si>
  <si>
    <t>Субсидии муниципальному унитарному предприятию на возмещение затрат по содержанию, реконструкции (модернизации) объектов наружного освещения, световой наружной иллюминации  и светофорных объектов, находящихся в муниципальной собственности городского округа «Город Южно-Сахалинск»</t>
  </si>
  <si>
    <t>0170700590</t>
  </si>
  <si>
    <t>Субсидия на возмещение части затрат, связанных с оказанием транспортных услуг населению городского округа «Город Южно-Сахалинск»</t>
  </si>
  <si>
    <t>Предоставление субсидий юридическим лицам на компенсацию затрат или недополученных доходов в сфере ЖКХ</t>
  </si>
  <si>
    <t>1100780240</t>
  </si>
  <si>
    <t xml:space="preserve">Субсидия на возмещение затрат, связанных с выполнением мероприятий по капитальному ремонту объектов коммунальной инфраструктуры, находящихся в муниципальной собственности </t>
  </si>
  <si>
    <t>0400262260</t>
  </si>
  <si>
    <t>Расходы на выплаты работникам органов местного самоуправления</t>
  </si>
  <si>
    <t>2240000000</t>
  </si>
  <si>
    <t>2240300000</t>
  </si>
  <si>
    <t>2240320100</t>
  </si>
  <si>
    <t>2320300000</t>
  </si>
  <si>
    <t>2320320990</t>
  </si>
  <si>
    <t>Изготовление и размещение общественно-значимой информации и информации о социальных проектах</t>
  </si>
  <si>
    <t>Подпрограмма "Строительство, реконструкция и капитальные ремонты образовательных учреждений "</t>
  </si>
  <si>
    <t xml:space="preserve">Строительство (приобретение на первичном и вторичном рынке) служебного жилья </t>
  </si>
  <si>
    <t>1520600000</t>
  </si>
  <si>
    <t>0170200000</t>
  </si>
  <si>
    <t>Строительство спортивных залов в общеобразовательных учреждениях</t>
  </si>
  <si>
    <t>Субвенция на реализацию государственных полномочий Сахалинской области в сфере перевозок пассажиров и багажа всеми видами общественного транспорта в городском и пригородном сообщении (кроме железнодорожного транспорта)</t>
  </si>
  <si>
    <t>5520462280</t>
  </si>
  <si>
    <t>Проведение работ (услуг), связанных с заключением соглашений об установлении сервитутов для муниципальных нужд на территории городского округа "Город Южно-Сахалинск"</t>
  </si>
  <si>
    <t>1500200000</t>
  </si>
  <si>
    <t>1500220990</t>
  </si>
  <si>
    <t>5520462090</t>
  </si>
  <si>
    <t xml:space="preserve">Молодежная политика </t>
  </si>
  <si>
    <t>Дополнительное образование детей</t>
  </si>
  <si>
    <t>0703</t>
  </si>
  <si>
    <t>Физическая культура</t>
  </si>
  <si>
    <t>Субсидии на приобретение объектов недвижимого имущества в государственную (муниципальную) собственность автономным учреждениям</t>
  </si>
  <si>
    <t>0120220990</t>
  </si>
  <si>
    <t>0120320990</t>
  </si>
  <si>
    <t>0120572020</t>
  </si>
  <si>
    <t>0160572020</t>
  </si>
  <si>
    <t>Награждение Почетным знаком</t>
  </si>
  <si>
    <t>Выплата единовременного денежного вознаграждения семьям, награжденным почетным знаком "За заслуги в воспитании детей"</t>
  </si>
  <si>
    <t>0130400000</t>
  </si>
  <si>
    <t>0130440118</t>
  </si>
  <si>
    <t>0600583010</t>
  </si>
  <si>
    <t>2620300000</t>
  </si>
  <si>
    <t>Субсидии юридическим лицам (за исключением государственных (муниципальных) учреждений ) и индивидуальным предпринимателям  на возмещение затрат, связанных с осуществлением градостроительной деятельности на территории городского округа "Город Южно-Сахалинск"</t>
  </si>
  <si>
    <t>2620380010</t>
  </si>
  <si>
    <t>Подпрограмма  "Реконструкция скверов, бульваров и зеленых ландшафтных зон на территории городского округа "Город Южно-Сахалинск" на 2015 - 2020 годы"</t>
  </si>
  <si>
    <t>0200280010</t>
  </si>
  <si>
    <t>Департамент землепользования города Южно-Сахалинска</t>
  </si>
  <si>
    <t>Выполнение работ (оказание услуг), связанных с разработкой проектов благоустройства территории городского округа  "Город Южно-Сахалинск"</t>
  </si>
  <si>
    <t>01702S3500</t>
  </si>
  <si>
    <t>Повышение безопасности пассажирских перевозок</t>
  </si>
  <si>
    <t>0920700000</t>
  </si>
  <si>
    <t>2240100000</t>
  </si>
  <si>
    <t>Обслуживание интеллектуальных комплексных систем видеонаблюдения, мониторинга и контроля, включая эксплуатационные расходы</t>
  </si>
  <si>
    <t>2240220100</t>
  </si>
  <si>
    <t>2240200000</t>
  </si>
  <si>
    <t>1700162100</t>
  </si>
  <si>
    <t>Подпрограмма "Построение (развитие), внедрение и эксплуатация аппаратно-программного комплекса "Безопасный город" на территории городского округа "Город Южно-Сахалинск"</t>
  </si>
  <si>
    <t>Создание и развитие интеллектуальных комплексных систем видеонаблюдения, мониторинга и контроля</t>
  </si>
  <si>
    <t>1200900000</t>
  </si>
  <si>
    <t>1200980180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</si>
  <si>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предпринимателям, физическим лицам на компенсацию затрат или недополученных доходов в сфере жилищного хозяйства</t>
  </si>
  <si>
    <t>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</t>
  </si>
  <si>
    <t>1510400000</t>
  </si>
  <si>
    <t>1510420990</t>
  </si>
  <si>
    <t>2240120100</t>
  </si>
  <si>
    <t>15301S0200</t>
  </si>
  <si>
    <t>Проведение ремонта жилья коренных народов в местах их традиционного проживания и традиционной хозяйственной деятельности</t>
  </si>
  <si>
    <t>0400300000</t>
  </si>
  <si>
    <t>Проведение мероприятий по регулированию численности безнадзорных животных</t>
  </si>
  <si>
    <t>Осуществление переданных полномочий Сахалинской области по организации проведения на территории Сахалинской области мероприятий по регулированию численности безнадзорных животных за счёт межбюджетных трансфертов</t>
  </si>
  <si>
    <t>1200600000</t>
  </si>
  <si>
    <t>1200662200</t>
  </si>
  <si>
    <t>0800200000</t>
  </si>
  <si>
    <t>0800263180</t>
  </si>
  <si>
    <t>0170163500</t>
  </si>
  <si>
    <t>Субсидия на софинансирование капитальных вложений в объекты муниципальной собственности</t>
  </si>
  <si>
    <t>1100163500</t>
  </si>
  <si>
    <t>15505S3500</t>
  </si>
  <si>
    <t>15503S3500</t>
  </si>
  <si>
    <t>Субсидия на софинансирование расходов муниципальных образований в сфере транспорта и дорожного хозяйства</t>
  </si>
  <si>
    <t>5610340119</t>
  </si>
  <si>
    <t>Возмещение расходов на оплату стоимости найма (поднайма), аренды жилых помещений</t>
  </si>
  <si>
    <t>0130262230</t>
  </si>
  <si>
    <t>0920220080</t>
  </si>
  <si>
    <t>0920320080</t>
  </si>
  <si>
    <t>0920420080</t>
  </si>
  <si>
    <t>Софинансирование субсидии на софинансирование расходов муниципальных образований в сфере транспорта и дорожного хозяйства</t>
  </si>
  <si>
    <t>12004S3170</t>
  </si>
  <si>
    <t>Софинансирование субсидии на осуществление мероприятий по повышению качества предоставляемых жилищно-коммунальных услуг</t>
  </si>
  <si>
    <t>1550363500</t>
  </si>
  <si>
    <t>2320180270</t>
  </si>
  <si>
    <t>Субсидия на опубликование нормативных правовых актов о деятельности органов местного самоуправления городского округа "Город Южно-Сахалинск" и информация о деятельности органов местного самоуправления</t>
  </si>
  <si>
    <t xml:space="preserve">Субсидия муниципальным образованиям на развитие агропромышленного комплекса </t>
  </si>
  <si>
    <t>08002S3180</t>
  </si>
  <si>
    <t>Софинансирование мероприятий по развитию агропромышленного комплекса</t>
  </si>
  <si>
    <t>1520663500</t>
  </si>
  <si>
    <t>15206S3500</t>
  </si>
  <si>
    <t>Софинансирование субсидии на софинансирование капитальных вложений в объекты муниципальной собственности</t>
  </si>
  <si>
    <t xml:space="preserve">Предоставление субсидии из бюджета городского округа на развитие агропромышленного комплекса </t>
  </si>
  <si>
    <t>1520463030</t>
  </si>
  <si>
    <t>5620940119</t>
  </si>
  <si>
    <t>1020100590</t>
  </si>
  <si>
    <t>1510580250</t>
  </si>
  <si>
    <t>15204S3030</t>
  </si>
  <si>
    <t xml:space="preserve">Софинансирование субсидии муниципальным образованиям на обеспечение населения Сахалинской области качественным жильем </t>
  </si>
  <si>
    <t>Популяризация знаний правил дорожного движения и необходимости соблюдения требований безопасности дорожного движения</t>
  </si>
  <si>
    <t>0920500000</t>
  </si>
  <si>
    <t>0920780280</t>
  </si>
  <si>
    <t>5610740119</t>
  </si>
  <si>
    <t>1900983100</t>
  </si>
  <si>
    <t>0170600590</t>
  </si>
  <si>
    <t>Приобретение жилья в многоквартирных жилых домах для граждан, переселяемых из аварийного или непригодного для проживания жилищного фонда</t>
  </si>
  <si>
    <t>1511100000</t>
  </si>
  <si>
    <t>1511120980</t>
  </si>
  <si>
    <t>Обследование жилищного фонда на предмет целесообразности проведения капитального ремонта</t>
  </si>
  <si>
    <t>2400120990</t>
  </si>
  <si>
    <t>2400100000</t>
  </si>
  <si>
    <t>Формирование доступной и комфортной туристской среды</t>
  </si>
  <si>
    <t>Муниципальная программа «Развитие туризма на территории городского округа «Город  Южно-Сахалинск» на 2017 — 2022 годы»</t>
  </si>
  <si>
    <t>2400000000</t>
  </si>
  <si>
    <t>2400320990</t>
  </si>
  <si>
    <t>2400220990</t>
  </si>
  <si>
    <t>2400300000</t>
  </si>
  <si>
    <t>2400200000</t>
  </si>
  <si>
    <t>Создание благоприятных условий для развития туризма на территории городского округа «Город Южно-Сахалинск»</t>
  </si>
  <si>
    <t>Продвижение туристского потенциала городского округа «Город Южно-Сахалинск» на внутреннем и внешнем туристских рынках</t>
  </si>
  <si>
    <t>2400200590</t>
  </si>
  <si>
    <t xml:space="preserve">Создание условий для духовно-нравственного воспитания, физического развития обучающихся/воспитанников, реализации их творческого потенциала
</t>
  </si>
  <si>
    <t>0130100000</t>
  </si>
  <si>
    <t>0130420990</t>
  </si>
  <si>
    <t>0130100590</t>
  </si>
  <si>
    <t>Департамент архитектуры и градостроительства администрации города Южно-Сахалинска</t>
  </si>
  <si>
    <t>12004S3280</t>
  </si>
  <si>
    <t>0910280250</t>
  </si>
  <si>
    <t>0920280250</t>
  </si>
  <si>
    <t>0920380250</t>
  </si>
  <si>
    <t>0920480250</t>
  </si>
  <si>
    <t>1200780250</t>
  </si>
  <si>
    <t>Софинансирование субсидии муниципальным образованиям на реализацию в Сахалинской области общественно значимых проектов, основанных на местных инициативах</t>
  </si>
  <si>
    <t>0190000000</t>
  </si>
  <si>
    <t>0190100000</t>
  </si>
  <si>
    <t>0190100590</t>
  </si>
  <si>
    <t>Подпрограмма "Повышение эффективности управления муниципальными финансами, обеспечение качественного бухгалтерского и налогового учета образовательных учреждений"</t>
  </si>
  <si>
    <t>Субвенция на реализацию Закона Сахалинской области от 23 декабря 2005 года № 106-ЗО «О дополнительной гарантии молодежи, проживающей и работающей в Сахалинской области»</t>
  </si>
  <si>
    <t>5610162100</t>
  </si>
  <si>
    <t>5610762100</t>
  </si>
  <si>
    <t>Развитие, обслуживание и обеспечение связью единой дежурно-диспетчерской службы города Южно-Сахалинска</t>
  </si>
  <si>
    <t xml:space="preserve">Проведение мероприятий по развитию и оснащению единой дежурно-диспетчерской службы </t>
  </si>
  <si>
    <t>2240500000</t>
  </si>
  <si>
    <t>2240520120</t>
  </si>
  <si>
    <t>1700500000</t>
  </si>
  <si>
    <t>1700500590</t>
  </si>
  <si>
    <t>2220600000</t>
  </si>
  <si>
    <t>2220600590</t>
  </si>
  <si>
    <t>Обеспечение деятельности Муниципального казенного учреждения "Управление по делам гражданской обороны и чрезвычайным ситуациям города Южно-Сахалинска"</t>
  </si>
  <si>
    <t>2220700000</t>
  </si>
  <si>
    <t>2220700650</t>
  </si>
  <si>
    <t>Обеспечение и содержание Мест временного расселения граждан, лишившихся жилья на территории городского округа "Город Южно-Сахалинск"</t>
  </si>
  <si>
    <t>Гранты для реализации социальных проектов</t>
  </si>
  <si>
    <t xml:space="preserve">Субсидии юридическим лицам (за исключением государственных (муниципальных) учреждений) и индивидуальным предпринимателям  на возмещение затрат, связанных с осуществлением градостроительной деятельности на территории городского округа "Город Южно-Сахалинск" </t>
  </si>
  <si>
    <t>2600800000</t>
  </si>
  <si>
    <t>2600820990</t>
  </si>
  <si>
    <t>1201000000</t>
  </si>
  <si>
    <t>12010S555F</t>
  </si>
  <si>
    <t>16101S3020</t>
  </si>
  <si>
    <t>01705S3010</t>
  </si>
  <si>
    <t xml:space="preserve">Софинансирование субсидии на софинансирование расходных обязательств по поддержке реализации муниципальной программы формирования современной городской среды </t>
  </si>
  <si>
    <t>1900983110</t>
  </si>
  <si>
    <t>Субсидия в виде добровольного имущественного взноса автономной некоммерческой организации, созданной в соответствии с решением Городской Думы города Южно-Сахалинска</t>
  </si>
  <si>
    <t>Субсидия некоммерческим организациям, осуществляющим деятельность по оказанию услуг по созданию благоприятной среды и жизнедеятельности населения</t>
  </si>
  <si>
    <t>1900900000</t>
  </si>
  <si>
    <t>Приоритетный проект "Формирование современной городской среды"</t>
  </si>
  <si>
    <t>Организация бухгалтерского учета хозяйственно-финансовой деятельности Учредителя и подведомственных Учредителю муниципальных учреждений</t>
  </si>
  <si>
    <t>Организация и обеспечение централизованного ведения бухгалтерского и налогового учета</t>
  </si>
  <si>
    <t>Организация бухгалтерского учета финансовой деятельности Учредителя и подведомственных Учредителю муниципальных учреждений</t>
  </si>
  <si>
    <t>1901000000</t>
  </si>
  <si>
    <t>1901000590</t>
  </si>
  <si>
    <t>Муниципальная программа "Управление муниципальными финансами городского округа Город Южно-Сахалинск" на 2015- 2020 годы"</t>
  </si>
  <si>
    <t>0920763170</t>
  </si>
  <si>
    <t>Софинансирование субсидии на софинансирование мероприятий муниципальных программ по поддержке и развитию субъектов малого и среднего предпринимательства</t>
  </si>
  <si>
    <t>0600163320</t>
  </si>
  <si>
    <t>06001S3320</t>
  </si>
  <si>
    <t>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</t>
  </si>
  <si>
    <t>Приоритетный проект «Формирование современной городской среды»</t>
  </si>
  <si>
    <t>Софинансирование субсидии на софинансирование расходных обязательств по поддержке реализации муниципальной программы формирования современной городской среды</t>
  </si>
  <si>
    <t>0120420990</t>
  </si>
  <si>
    <t>Учреждения по исполнению функций и оказанию услуг в сфере реализации единой жилищной политики</t>
  </si>
  <si>
    <t>5610900590</t>
  </si>
  <si>
    <t>5610900000</t>
  </si>
  <si>
    <t>Софинансирование субсидии муниципальным образованиям на развитие физической культуры и спорта</t>
  </si>
  <si>
    <t>Софинансирование субсидии муниципальным образованиям на обеспечение доступности приоритетных объектов и услуг в приоритетных сферах жизнедеятельности на территории  муниципальных образованиях Сахалинской области</t>
  </si>
  <si>
    <t>2600900000</t>
  </si>
  <si>
    <t>2600983030</t>
  </si>
  <si>
    <t>04003R5150</t>
  </si>
  <si>
    <t>Субвенция на реализацию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</si>
  <si>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1100780230</t>
  </si>
  <si>
    <t>17003S3130</t>
  </si>
  <si>
    <t>Предоставление услуг в сфере организации и проведения в городском округе "Город Южно-Сахалинск" праздничных мероприятий, оказание услуг по созданию благоприятной среды проживания и жизнедеятельности населения</t>
  </si>
  <si>
    <t>5610962080</t>
  </si>
  <si>
    <t>09207S3170</t>
  </si>
  <si>
    <t>0160500590</t>
  </si>
  <si>
    <t>1560680410</t>
  </si>
  <si>
    <t>1200720010</t>
  </si>
  <si>
    <t>2400280090</t>
  </si>
  <si>
    <r>
      <t>Предоставление субсидий субъектам малого и</t>
    </r>
    <r>
      <rPr>
        <sz val="12"/>
        <rFont val="Times New Roman"/>
        <family val="1"/>
        <charset val="204"/>
      </rPr>
      <t xml:space="preserve"> среднего</t>
    </r>
    <r>
      <rPr>
        <sz val="12"/>
        <color theme="1"/>
        <rFont val="Times New Roman"/>
        <family val="1"/>
        <charset val="204"/>
      </rPr>
      <t xml:space="preserve"> предпринимательства городского округа "Город Южно-Сахалинск"</t>
    </r>
  </si>
  <si>
    <t>Подпрограмма "Развитие системы градостроительной деятельности на территории городского округа на 2015-2020 годы"</t>
  </si>
  <si>
    <t>Выполнение работ по проекту: "Концепция оформления и схема размещения объектов и элементов праздничного оформления на территории городского округа "Город Южно-Сахалинск"</t>
  </si>
  <si>
    <t>5611000000</t>
  </si>
  <si>
    <t>5611000590</t>
  </si>
  <si>
    <t>Учреждение по обеспечению строительства, реконструкции, капитального ремонта, и проектирования объектов дорожного хозяйства и благоустройства</t>
  </si>
  <si>
    <t>1621640120</t>
  </si>
  <si>
    <t>1621600000</t>
  </si>
  <si>
    <t>Дополнительная адресная социальная  поддержка молодых семей, имеющих детей, либо многодетных семей в приобретении жилого помещения в случае предоставления им жилого помещения взамен признанного непригодным для проживания в связи с аварийностью (ветхостью)</t>
  </si>
  <si>
    <t>1621780281</t>
  </si>
  <si>
    <t>1621700000</t>
  </si>
  <si>
    <t>Субсидия на возмещение недополученных доходов в связи с обеспечением отдельных категорий граждан льготным проездом в городском сообщении</t>
  </si>
  <si>
    <t>Льготный проезд отдельным категориям граждан</t>
  </si>
  <si>
    <t>РАСПРЕДЕЛЕНИЕ БЮДЖЕТНЫХ АССИГНОВАНИЙ                                                                                                                                                                                по разделам, подразделам, целевым статьям (муниципальным программам городского округа «Город Южно-Сахалинск» и непрограммным направлениям деятельности), группам (группам и подгруппам) видов  расходов классификации расходов бюджетов в ведомственной структуре расходов городского округа «Город Южно-Сахалинск» на 2018 год</t>
  </si>
  <si>
    <t>0180200000</t>
  </si>
  <si>
    <t>0180220990</t>
  </si>
  <si>
    <t>0190200000</t>
  </si>
  <si>
    <t>0190200590</t>
  </si>
  <si>
    <t>0920520990</t>
  </si>
  <si>
    <t>Реконструкция зданий бюджетной сферы на условиях заключения энергосервисных контрактов</t>
  </si>
  <si>
    <t>1300400000</t>
  </si>
  <si>
    <t>1300400590</t>
  </si>
  <si>
    <t>2601000000</t>
  </si>
  <si>
    <t>2601020990</t>
  </si>
  <si>
    <t>Выполнение работ по проекту: "Концепция пространственного развития территории городского  округа "Город Южно-Сахалинск"</t>
  </si>
  <si>
    <t>2601100000</t>
  </si>
  <si>
    <t>2601120990</t>
  </si>
  <si>
    <t>Выполнение работ по разработке проекта "Концепция по цветовому решению и архитектурно-художественной подсветке фасадов зданий, расположенных на территории городского округа «Город Южно-Сахалинск»</t>
  </si>
  <si>
    <t>Субсидии бюджетным учреждениям</t>
  </si>
  <si>
    <t xml:space="preserve">Субсидии автономным учреждениям </t>
  </si>
  <si>
    <t xml:space="preserve">Субсидии бюджетным учреждениям </t>
  </si>
  <si>
    <t>Субсидии автономным учреждениям</t>
  </si>
  <si>
    <t>0500200000</t>
  </si>
  <si>
    <t>0500220990</t>
  </si>
  <si>
    <t>Мероприятия по продвижению инвестиционного потенциала городского округа "Город Южно-Сахалинск"</t>
  </si>
  <si>
    <t>1040900190</t>
  </si>
  <si>
    <t>2400283010</t>
  </si>
  <si>
    <t xml:space="preserve">Подпрограмма "Отходы производства и потребления в городском округе "Город Южно-Сахалинск" </t>
  </si>
  <si>
    <t>2010220980</t>
  </si>
  <si>
    <t>2230120980</t>
  </si>
  <si>
    <t>2230100000</t>
  </si>
  <si>
    <t>Строительство сооружений инженерной защиты</t>
  </si>
  <si>
    <t>2210200000</t>
  </si>
  <si>
    <t>2210220990</t>
  </si>
  <si>
    <t>Развитие и материально-техническая модернизация сил и средств гражданской обороны и добровольной пожарной охраны</t>
  </si>
  <si>
    <t>2220200000</t>
  </si>
  <si>
    <t>2220220990</t>
  </si>
  <si>
    <t>Обеспечение и реализация мероприятий в области гражданской обороны и защиты от чрезвычайных ситуаций</t>
  </si>
  <si>
    <t>Софинансирование субсидии  на развитие физической культуры и спорта</t>
  </si>
  <si>
    <t>0170120980</t>
  </si>
  <si>
    <t>Развитие инфраструктуры и модернизация объектов в сфере физической культуры и спорта</t>
  </si>
  <si>
    <t>Гранты на формирование архитектурно-художественного облика города Южно-Сахалинска</t>
  </si>
  <si>
    <t>Предоставление муниципальных грантов в форме субсидий по результатам проводимых конкурсов на выполнение мероприятий по формированию архитектурно-художественного облика города Южно-Сахалинска</t>
  </si>
  <si>
    <t>360</t>
  </si>
  <si>
    <t>1510120980</t>
  </si>
  <si>
    <t>Строительство и приобретение дошкольных образовательных учреждений</t>
  </si>
  <si>
    <t>0170300000</t>
  </si>
  <si>
    <t>01703S3500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</si>
  <si>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</si>
  <si>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</si>
  <si>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</si>
  <si>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5520451200</t>
  </si>
  <si>
    <t>Субсидия муниципальным образованиям на развитие физической культуры и спорта</t>
  </si>
  <si>
    <t>1700163130</t>
  </si>
  <si>
    <t>0120262500</t>
  </si>
  <si>
    <t>Реализация Закона Сахалинской области "О наделении органов местного самоуправления государственными полномочиями Сахалинской области в сфере образования" на выплату компенсации за работу лицам, привлекаемым к подготовке и проведению ЕГЭ</t>
  </si>
  <si>
    <t>Реализация мероприятий по охране окружающей среды, экологической реабилитации и воспроизводству природных объектов</t>
  </si>
  <si>
    <t>2230263120</t>
  </si>
  <si>
    <t>Субсидия на реализацию общественно значимых проектов, основанных на местных инициативах в рамках проекта "Молодёжный бюджет"</t>
  </si>
  <si>
    <t>0120263330</t>
  </si>
  <si>
    <t>Софинансирование субсидии на реализацию общественно значимых проектов, основанных на местных инициативах в рамках проекта "Молодёжный бюджет"</t>
  </si>
  <si>
    <t>01202S3330</t>
  </si>
  <si>
    <t>0910163210</t>
  </si>
  <si>
    <t>09101S3210</t>
  </si>
  <si>
    <t xml:space="preserve">Строительство (реконструкция) автомобильных дорог общего пользования местного значения </t>
  </si>
  <si>
    <t>Софинансирование субсидии на cтроительство (реконструкция) автомобильных дорог общего пользования местного значения</t>
  </si>
  <si>
    <t>1100563060</t>
  </si>
  <si>
    <t>Субсидия на осуществление мероприятий по повышению качества предоставляемых жилищно-коммунальных услуг</t>
  </si>
  <si>
    <t>Субсидия муниципальным образованиям на обеспечение доступности приоритетных объектов и услуг в приоритетных сферах жизнедеятельности на территории  муниципальных образованиях Сахалинской области</t>
  </si>
  <si>
    <t>1610163020</t>
  </si>
  <si>
    <t>1200463170</t>
  </si>
  <si>
    <t>1511063500</t>
  </si>
  <si>
    <t>15110S3500</t>
  </si>
  <si>
    <t>Реализация мероприятий по созданию условий для управления многоквартирными домами</t>
  </si>
  <si>
    <t>1201100000</t>
  </si>
  <si>
    <t xml:space="preserve">Субсидия муниципальным образованиям на реализацию мероприятий по созданию условий для управления многоквартирными домами </t>
  </si>
  <si>
    <t>1201163310</t>
  </si>
  <si>
    <t xml:space="preserve">Софинансирование субсидии муниципальным образованиям на реализацию мероприятий по созданию условий для управления многоквартирными домами </t>
  </si>
  <si>
    <t>12011S3310</t>
  </si>
  <si>
    <t>1700463500</t>
  </si>
  <si>
    <t>1200163060</t>
  </si>
  <si>
    <t>12001S3060</t>
  </si>
  <si>
    <t>1530163030</t>
  </si>
  <si>
    <t>Софинансирование субсидии муниципальным образованиям на обеспечение населения Сахалинской области качественным жильем</t>
  </si>
  <si>
    <t>15301S3030</t>
  </si>
  <si>
    <t>Субсидия муниципальным образованиям на государственную поддержку на улучшение жилищных условий молодых семей</t>
  </si>
  <si>
    <t>15301R0200</t>
  </si>
  <si>
    <t>Субсидия муниципальным образованиям на создание условий для развития туризма</t>
  </si>
  <si>
    <t>2400163300</t>
  </si>
  <si>
    <t>1400163500</t>
  </si>
  <si>
    <t>Субсидия на обеспечение населения Сахалинской области качественным жильем</t>
  </si>
  <si>
    <t>Софинансирование субсидии на обеспечение населения Сахалинской области качественным жильем</t>
  </si>
  <si>
    <t>1550563030</t>
  </si>
  <si>
    <t>15505S3030</t>
  </si>
  <si>
    <t>0170363500</t>
  </si>
  <si>
    <t>1621300000</t>
  </si>
  <si>
    <t xml:space="preserve">Совершенствование организационно-управленческой деятельности, направленной на улучшение качества питания обучающихся
</t>
  </si>
  <si>
    <t xml:space="preserve">Приложение 5
к решению Городской Думы                                                                          города Южно-Сахалинска 
от 06.12.2017 № 992/52вн-17-5
</t>
  </si>
  <si>
    <t>к решению Городской Думы</t>
  </si>
  <si>
    <t>города Южно-Сахалинска</t>
  </si>
  <si>
    <t>Приложение 2</t>
  </si>
  <si>
    <t>0920120080</t>
  </si>
  <si>
    <t>0705</t>
  </si>
  <si>
    <t>Профессиональная подготовка, переподготовка и повышение квалификации</t>
  </si>
  <si>
    <t>0920700590</t>
  </si>
  <si>
    <t>0920762100</t>
  </si>
  <si>
    <t>0920740119</t>
  </si>
  <si>
    <t>Приобретение и ввод в эксплуатацию специальной пожарной и аварийно-спасательной техники</t>
  </si>
  <si>
    <t>2210300000</t>
  </si>
  <si>
    <t>2210320990</t>
  </si>
  <si>
    <t>0910163170</t>
  </si>
  <si>
    <t>09101S3170</t>
  </si>
  <si>
    <t>1200180160</t>
  </si>
  <si>
    <t>Субсидия юридическим лицам на проведение комплексного капитального ремонта многоквартирных домов</t>
  </si>
  <si>
    <t>1100780220</t>
  </si>
  <si>
    <t>Субсидия юридическим лицам (за исключением государственных (муниципальных)учреждений) и индивидуальным предпринимателям на возмещение недополученных (выпадающих) доходов, возникающих в результате незапланированного снижения полезного отпуска тепловой энергии, воды и услуг водоотведения</t>
  </si>
  <si>
    <t>1100780400</t>
  </si>
  <si>
    <t>Субсидия на возмещение затрат, возникающих, при осуществлении деятельности в сфере электроснабжения, теплоснабжения, водоснабжения и водоотведения</t>
  </si>
  <si>
    <t>Муниципальная программа «Формирование современной городской среды на 2018-2022 годы» на территории городского округа «Город Южно-Сахалинск»</t>
  </si>
  <si>
    <t>2500000000</t>
  </si>
  <si>
    <t>2500100000</t>
  </si>
  <si>
    <t>2500120990</t>
  </si>
  <si>
    <t>Софинансирование субсидии на софинансирование расходных обязательств на поддержку муниципальной программы «Формирование современной городской среды на 2018-2022 годы» на территории городского округа «Город Южно-Сахалинск»</t>
  </si>
  <si>
    <t>25001S555F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</si>
  <si>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</si>
  <si>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01303R082Ф</t>
  </si>
  <si>
    <t>01303R082С</t>
  </si>
  <si>
    <t>Софинансирование мероприятий государственной программы Сахалинской области «Развитие внутреннего и въездного туризма в Сахалинской области на 2017-2022 годы»</t>
  </si>
  <si>
    <t>24001S3300</t>
  </si>
  <si>
    <t>1621880510</t>
  </si>
  <si>
    <t>1621800000</t>
  </si>
  <si>
    <t xml:space="preserve">Субсидия на функционирование и развитие деятельности местных общественных организаций инвалидов и ветеранов
</t>
  </si>
  <si>
    <t>Муниципальная поддержка местных общественных организаций инвалидов и ветеранов</t>
  </si>
  <si>
    <t>1100520990</t>
  </si>
  <si>
    <t>Бюджетные инвестиции</t>
  </si>
  <si>
    <t>0170220980</t>
  </si>
  <si>
    <t>1700420980</t>
  </si>
  <si>
    <t>1510100000</t>
  </si>
  <si>
    <t>Субсидия юридическим лицам (за исключением государственных (муниципальных) учреждений) на  финансовое обеспечение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</si>
  <si>
    <t>Субсидия муниципальным образованиям Сахалинской области на обеспечение населения Сахалинской области качественным жильём</t>
  </si>
  <si>
    <t>Обеспечение связью интеллектуальных комплексных систем видеонаблюдения, мониторинга и контроля</t>
  </si>
  <si>
    <t>1900600590</t>
  </si>
  <si>
    <t>от 07.02.2018  № 1057/55вн-18-5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</si>
</sst>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0000"/>
    <numFmt numFmtId="167" formatCode="\+0"/>
    <numFmt numFmtId="168" formatCode="\+0.0"/>
  </numFmts>
  <fonts count="70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9" tint="0.3999755851924192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6"/>
      <color theme="9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3333FF"/>
      <name val="Times New Roman"/>
      <family val="1"/>
      <charset val="204"/>
    </font>
    <font>
      <sz val="10"/>
      <name val="Arial Cyr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FF0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9" tint="-0.49998474074526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390FB1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33CC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6"/>
      <color rgb="FF390FB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rgb="FFB413F5"/>
      <name val="Times New Roman"/>
      <family val="1"/>
      <charset val="204"/>
    </font>
    <font>
      <b/>
      <sz val="12"/>
      <color rgb="FFB413F5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color rgb="FF3333FF"/>
      <name val="Times New Roman"/>
      <family val="1"/>
      <charset val="204"/>
    </font>
    <font>
      <sz val="14"/>
      <color rgb="FFFFFF00"/>
      <name val="Times New Roman"/>
      <family val="1"/>
      <charset val="204"/>
    </font>
    <font>
      <b/>
      <sz val="12"/>
      <color rgb="FFFF00FF"/>
      <name val="Times New Roman"/>
      <family val="1"/>
      <charset val="204"/>
    </font>
    <font>
      <sz val="10"/>
      <color rgb="FFFF33CC"/>
      <name val="Times New Roman"/>
      <family val="1"/>
      <charset val="204"/>
    </font>
    <font>
      <sz val="12"/>
      <color rgb="FFFF33CC"/>
      <name val="Times New Roman"/>
      <family val="1"/>
      <charset val="204"/>
    </font>
    <font>
      <b/>
      <sz val="10"/>
      <color theme="9" tint="0.39997558519241921"/>
      <name val="Times New Roman"/>
      <family val="1"/>
      <charset val="204"/>
    </font>
    <font>
      <sz val="10"/>
      <color theme="6" tint="-0.499984740745262"/>
      <name val="Times New Roman"/>
      <family val="1"/>
      <charset val="204"/>
    </font>
    <font>
      <sz val="12"/>
      <color rgb="FFB413F5"/>
      <name val="Times New Roman"/>
      <family val="1"/>
      <charset val="204"/>
    </font>
    <font>
      <b/>
      <sz val="10"/>
      <color theme="9" tint="-0.49998474074526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b/>
      <sz val="12"/>
      <color rgb="FF985DD9"/>
      <name val="Times New Roman"/>
      <family val="1"/>
      <charset val="204"/>
    </font>
    <font>
      <b/>
      <sz val="11"/>
      <color theme="9" tint="0.39997558519241921"/>
      <name val="Times New Roman"/>
      <family val="1"/>
      <charset val="204"/>
    </font>
    <font>
      <b/>
      <sz val="11"/>
      <color theme="9" tint="-0.499984740745262"/>
      <name val="Times New Roman"/>
      <family val="1"/>
      <charset val="204"/>
    </font>
    <font>
      <b/>
      <sz val="10"/>
      <color theme="6" tint="-0.499984740745262"/>
      <name val="Times New Roman"/>
      <family val="1"/>
      <charset val="204"/>
    </font>
    <font>
      <b/>
      <sz val="12"/>
      <color theme="3" tint="-0.24997711111789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2"/>
      <color rgb="FF390FB1"/>
      <name val="Times New Roman"/>
      <family val="1"/>
      <charset val="204"/>
    </font>
    <font>
      <b/>
      <sz val="10"/>
      <color rgb="FF390FB1"/>
      <name val="Times New Roman"/>
      <family val="1"/>
      <charset val="204"/>
    </font>
    <font>
      <b/>
      <sz val="12"/>
      <color rgb="FFFFCCFF"/>
      <name val="Times New Roman"/>
      <family val="1"/>
      <charset val="204"/>
    </font>
    <font>
      <sz val="10"/>
      <color rgb="FFB413F5"/>
      <name val="Times New Roman"/>
      <family val="1"/>
      <charset val="204"/>
    </font>
    <font>
      <b/>
      <sz val="14"/>
      <color theme="9" tint="-0.49998474074526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390FB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top" wrapText="1"/>
    </xf>
    <xf numFmtId="0" fontId="14" fillId="0" borderId="0"/>
  </cellStyleXfs>
  <cellXfs count="379">
    <xf numFmtId="0" fontId="0" fillId="0" borderId="0" xfId="0">
      <alignment vertical="top" wrapText="1"/>
    </xf>
    <xf numFmtId="4" fontId="2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3" fontId="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3" fontId="4" fillId="0" borderId="0" xfId="0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3" fontId="1" fillId="0" borderId="0" xfId="0" applyNumberFormat="1" applyFont="1" applyFill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3" fontId="8" fillId="0" borderId="0" xfId="0" applyNumberFormat="1" applyFont="1" applyFill="1" applyAlignment="1">
      <alignment horizontal="left" vertical="top" wrapText="1"/>
    </xf>
    <xf numFmtId="164" fontId="9" fillId="0" borderId="0" xfId="0" applyNumberFormat="1" applyFont="1" applyFill="1" applyAlignment="1">
      <alignment horizontal="left" vertical="top" wrapText="1"/>
    </xf>
    <xf numFmtId="3" fontId="5" fillId="0" borderId="0" xfId="0" applyNumberFormat="1" applyFont="1" applyFill="1" applyAlignment="1">
      <alignment horizontal="left" vertical="top" wrapText="1"/>
    </xf>
    <xf numFmtId="49" fontId="7" fillId="2" borderId="2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top" wrapText="1"/>
    </xf>
    <xf numFmtId="3" fontId="3" fillId="0" borderId="0" xfId="0" applyNumberFormat="1" applyFont="1" applyFill="1" applyAlignment="1">
      <alignment horizontal="left" vertical="top" wrapText="1"/>
    </xf>
    <xf numFmtId="3" fontId="9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Alignment="1">
      <alignment horizontal="left" vertical="top" wrapText="1"/>
    </xf>
    <xf numFmtId="0" fontId="7" fillId="2" borderId="2" xfId="0" applyNumberFormat="1" applyFont="1" applyFill="1" applyBorder="1" applyAlignment="1">
      <alignment horizontal="center" vertical="top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 vertical="top" wrapText="1"/>
    </xf>
    <xf numFmtId="49" fontId="11" fillId="2" borderId="2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top" wrapText="1"/>
    </xf>
    <xf numFmtId="49" fontId="12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horizontal="left" vertical="top" wrapText="1"/>
    </xf>
    <xf numFmtId="49" fontId="10" fillId="0" borderId="0" xfId="0" applyNumberFormat="1" applyFont="1" applyFill="1" applyAlignment="1">
      <alignment horizontal="right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Alignment="1">
      <alignment horizontal="right" vertical="top" wrapText="1"/>
    </xf>
    <xf numFmtId="3" fontId="13" fillId="0" borderId="0" xfId="0" applyNumberFormat="1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center" vertical="center" wrapText="1"/>
    </xf>
    <xf numFmtId="3" fontId="2" fillId="3" borderId="0" xfId="0" applyNumberFormat="1" applyFont="1" applyFill="1" applyAlignment="1">
      <alignment horizontal="left" vertical="top" wrapText="1"/>
    </xf>
    <xf numFmtId="0" fontId="1" fillId="3" borderId="0" xfId="0" applyFont="1" applyFill="1" applyAlignment="1">
      <alignment vertical="top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vertical="center" wrapText="1"/>
    </xf>
    <xf numFmtId="4" fontId="12" fillId="0" borderId="0" xfId="0" applyNumberFormat="1" applyFont="1" applyFill="1" applyAlignment="1">
      <alignment horizontal="left" vertical="top" wrapText="1"/>
    </xf>
    <xf numFmtId="164" fontId="3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13" fillId="0" borderId="0" xfId="0" applyNumberFormat="1" applyFont="1" applyFill="1" applyAlignment="1">
      <alignment horizontal="right" vertical="top" wrapText="1"/>
    </xf>
    <xf numFmtId="49" fontId="2" fillId="3" borderId="0" xfId="0" applyNumberFormat="1" applyFont="1" applyFill="1" applyAlignment="1">
      <alignment horizontal="left" vertical="top" wrapText="1"/>
    </xf>
    <xf numFmtId="165" fontId="2" fillId="3" borderId="0" xfId="0" applyNumberFormat="1" applyFont="1" applyFill="1" applyAlignment="1">
      <alignment horizontal="left" vertical="top" wrapText="1"/>
    </xf>
    <xf numFmtId="3" fontId="7" fillId="2" borderId="2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 applyProtection="1">
      <alignment horizontal="left" vertical="top" wrapText="1"/>
    </xf>
    <xf numFmtId="3" fontId="15" fillId="0" borderId="0" xfId="0" applyNumberFormat="1" applyFont="1" applyFill="1" applyAlignment="1">
      <alignment horizontal="left" vertical="top" wrapText="1"/>
    </xf>
    <xf numFmtId="49" fontId="16" fillId="0" borderId="0" xfId="0" applyNumberFormat="1" applyFont="1" applyFill="1" applyAlignment="1">
      <alignment horizontal="left" vertical="top" wrapText="1"/>
    </xf>
    <xf numFmtId="3" fontId="16" fillId="0" borderId="0" xfId="0" applyNumberFormat="1" applyFont="1" applyFill="1" applyAlignment="1">
      <alignment horizontal="left" vertical="top" wrapText="1"/>
    </xf>
    <xf numFmtId="0" fontId="11" fillId="2" borderId="2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Alignment="1">
      <alignment horizontal="left" vertical="top" wrapText="1"/>
    </xf>
    <xf numFmtId="164" fontId="6" fillId="0" borderId="0" xfId="0" applyNumberFormat="1" applyFont="1" applyFill="1" applyAlignment="1">
      <alignment horizontal="left" vertical="top" wrapText="1"/>
    </xf>
    <xf numFmtId="4" fontId="4" fillId="0" borderId="0" xfId="0" applyNumberFormat="1" applyFont="1" applyFill="1" applyAlignment="1">
      <alignment horizontal="left" vertical="top" wrapText="1"/>
    </xf>
    <xf numFmtId="164" fontId="8" fillId="0" borderId="0" xfId="0" applyNumberFormat="1" applyFont="1" applyFill="1" applyAlignment="1">
      <alignment horizontal="left" vertical="top" wrapText="1"/>
    </xf>
    <xf numFmtId="3" fontId="18" fillId="0" borderId="0" xfId="0" applyNumberFormat="1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vertical="top" wrapText="1"/>
    </xf>
    <xf numFmtId="164" fontId="16" fillId="0" borderId="0" xfId="0" applyNumberFormat="1" applyFont="1" applyFill="1" applyAlignment="1">
      <alignment horizontal="left" vertical="top" wrapText="1"/>
    </xf>
    <xf numFmtId="164" fontId="1" fillId="0" borderId="0" xfId="0" applyNumberFormat="1" applyFont="1" applyFill="1" applyAlignment="1">
      <alignment vertical="top" wrapText="1"/>
    </xf>
    <xf numFmtId="3" fontId="18" fillId="3" borderId="0" xfId="0" applyNumberFormat="1" applyFont="1" applyFill="1" applyAlignment="1">
      <alignment horizontal="left" vertical="top" wrapText="1"/>
    </xf>
    <xf numFmtId="4" fontId="20" fillId="0" borderId="0" xfId="0" applyNumberFormat="1" applyFont="1" applyFill="1" applyAlignment="1">
      <alignment horizontal="left" vertical="top" wrapText="1"/>
    </xf>
    <xf numFmtId="164" fontId="18" fillId="0" borderId="0" xfId="0" applyNumberFormat="1" applyFont="1" applyFill="1" applyAlignment="1">
      <alignment horizontal="left" vertical="top" wrapText="1"/>
    </xf>
    <xf numFmtId="167" fontId="12" fillId="0" borderId="0" xfId="0" applyNumberFormat="1" applyFont="1" applyFill="1" applyAlignment="1">
      <alignment vertical="top" wrapText="1"/>
    </xf>
    <xf numFmtId="49" fontId="18" fillId="0" borderId="0" xfId="0" applyNumberFormat="1" applyFont="1" applyFill="1" applyAlignment="1">
      <alignment horizontal="left" vertical="top" wrapText="1"/>
    </xf>
    <xf numFmtId="0" fontId="21" fillId="0" borderId="0" xfId="0" applyFont="1" applyFill="1" applyAlignment="1">
      <alignment vertical="top" wrapText="1"/>
    </xf>
    <xf numFmtId="164" fontId="22" fillId="0" borderId="0" xfId="0" applyNumberFormat="1" applyFont="1" applyFill="1" applyAlignment="1">
      <alignment horizontal="left" vertical="top" wrapText="1"/>
    </xf>
    <xf numFmtId="4" fontId="23" fillId="0" borderId="0" xfId="0" applyNumberFormat="1" applyFont="1" applyFill="1" applyAlignment="1">
      <alignment horizontal="left" vertical="top" wrapText="1"/>
    </xf>
    <xf numFmtId="0" fontId="24" fillId="3" borderId="0" xfId="0" applyFont="1" applyFill="1" applyAlignment="1">
      <alignment vertical="top" wrapText="1"/>
    </xf>
    <xf numFmtId="165" fontId="2" fillId="0" borderId="0" xfId="0" applyNumberFormat="1" applyFont="1" applyFill="1" applyAlignment="1">
      <alignment horizontal="left" vertical="top" wrapText="1"/>
    </xf>
    <xf numFmtId="167" fontId="3" fillId="0" borderId="0" xfId="0" applyNumberFormat="1" applyFont="1" applyFill="1" applyAlignment="1">
      <alignment horizontal="left" vertical="top" wrapText="1"/>
    </xf>
    <xf numFmtId="4" fontId="21" fillId="0" borderId="0" xfId="0" applyNumberFormat="1" applyFont="1" applyFill="1" applyAlignment="1">
      <alignment vertical="top" wrapText="1"/>
    </xf>
    <xf numFmtId="164" fontId="21" fillId="0" borderId="0" xfId="0" applyNumberFormat="1" applyFont="1" applyFill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164" fontId="26" fillId="0" borderId="0" xfId="0" applyNumberFormat="1" applyFont="1" applyFill="1" applyAlignment="1">
      <alignment horizontal="left" vertical="top" wrapText="1"/>
    </xf>
    <xf numFmtId="168" fontId="26" fillId="0" borderId="0" xfId="0" applyNumberFormat="1" applyFont="1" applyFill="1" applyAlignment="1">
      <alignment horizontal="left" vertical="top" wrapText="1"/>
    </xf>
    <xf numFmtId="3" fontId="26" fillId="0" borderId="0" xfId="0" applyNumberFormat="1" applyFont="1" applyFill="1" applyAlignment="1">
      <alignment horizontal="left" vertical="top" wrapText="1"/>
    </xf>
    <xf numFmtId="167" fontId="26" fillId="0" borderId="0" xfId="0" applyNumberFormat="1" applyFont="1" applyFill="1" applyAlignment="1">
      <alignment horizontal="left" vertical="top" wrapText="1"/>
    </xf>
    <xf numFmtId="0" fontId="2" fillId="2" borderId="2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0" fontId="11" fillId="4" borderId="2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top" wrapText="1"/>
    </xf>
    <xf numFmtId="164" fontId="29" fillId="0" borderId="0" xfId="0" applyNumberFormat="1" applyFont="1" applyFill="1" applyAlignment="1">
      <alignment horizontal="left" vertical="top" wrapText="1"/>
    </xf>
    <xf numFmtId="3" fontId="29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left" vertical="top" wrapText="1"/>
    </xf>
    <xf numFmtId="165" fontId="1" fillId="0" borderId="0" xfId="0" applyNumberFormat="1" applyFont="1" applyFill="1" applyAlignment="1">
      <alignment vertical="top" wrapText="1"/>
    </xf>
    <xf numFmtId="0" fontId="7" fillId="0" borderId="4" xfId="0" applyFont="1" applyFill="1" applyBorder="1" applyAlignment="1">
      <alignment horizontal="left" vertical="top" wrapText="1"/>
    </xf>
    <xf numFmtId="3" fontId="30" fillId="0" borderId="0" xfId="0" applyNumberFormat="1" applyFont="1" applyFill="1" applyAlignment="1">
      <alignment horizontal="left" vertical="top" wrapText="1"/>
    </xf>
    <xf numFmtId="164" fontId="30" fillId="0" borderId="0" xfId="0" applyNumberFormat="1" applyFont="1" applyFill="1" applyAlignment="1">
      <alignment horizontal="left" vertical="top" wrapText="1"/>
    </xf>
    <xf numFmtId="49" fontId="17" fillId="0" borderId="0" xfId="0" applyNumberFormat="1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8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vertical="top" wrapText="1"/>
    </xf>
    <xf numFmtId="4" fontId="12" fillId="0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49" fontId="16" fillId="3" borderId="0" xfId="0" applyNumberFormat="1" applyFont="1" applyFill="1" applyAlignment="1">
      <alignment horizontal="left" vertical="top" wrapText="1"/>
    </xf>
    <xf numFmtId="49" fontId="13" fillId="0" borderId="0" xfId="0" applyNumberFormat="1" applyFont="1" applyFill="1" applyAlignment="1">
      <alignment horizontal="center" vertical="top" wrapText="1"/>
    </xf>
    <xf numFmtId="49" fontId="32" fillId="0" borderId="0" xfId="0" applyNumberFormat="1" applyFont="1" applyFill="1" applyAlignment="1">
      <alignment horizontal="right" vertical="top" wrapText="1"/>
    </xf>
    <xf numFmtId="164" fontId="7" fillId="0" borderId="0" xfId="0" applyNumberFormat="1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left" vertical="top" wrapText="1"/>
    </xf>
    <xf numFmtId="164" fontId="33" fillId="0" borderId="0" xfId="0" applyNumberFormat="1" applyFont="1" applyFill="1" applyAlignment="1">
      <alignment horizontal="right" vertical="top" wrapText="1"/>
    </xf>
    <xf numFmtId="164" fontId="30" fillId="0" borderId="0" xfId="0" applyNumberFormat="1" applyFont="1" applyFill="1" applyAlignment="1">
      <alignment horizontal="right" vertical="top" wrapText="1"/>
    </xf>
    <xf numFmtId="49" fontId="33" fillId="0" borderId="0" xfId="0" applyNumberFormat="1" applyFont="1" applyFill="1" applyAlignment="1">
      <alignment horizontal="right" vertical="top" wrapText="1"/>
    </xf>
    <xf numFmtId="49" fontId="18" fillId="3" borderId="0" xfId="0" applyNumberFormat="1" applyFont="1" applyFill="1" applyAlignment="1">
      <alignment horizontal="left" vertical="top" wrapText="1"/>
    </xf>
    <xf numFmtId="49" fontId="19" fillId="0" borderId="0" xfId="0" applyNumberFormat="1" applyFont="1" applyFill="1" applyAlignment="1">
      <alignment vertical="top" wrapText="1"/>
    </xf>
    <xf numFmtId="4" fontId="26" fillId="0" borderId="0" xfId="0" applyNumberFormat="1" applyFont="1" applyFill="1" applyAlignment="1">
      <alignment horizontal="left" vertical="top" wrapText="1"/>
    </xf>
    <xf numFmtId="3" fontId="2" fillId="0" borderId="0" xfId="0" applyNumberFormat="1" applyFont="1" applyFill="1" applyAlignment="1">
      <alignment vertical="top" wrapText="1"/>
    </xf>
    <xf numFmtId="49" fontId="34" fillId="0" borderId="0" xfId="0" applyNumberFormat="1" applyFont="1" applyFill="1" applyAlignment="1">
      <alignment horizontal="left" vertical="top" wrapText="1"/>
    </xf>
    <xf numFmtId="164" fontId="32" fillId="0" borderId="0" xfId="0" applyNumberFormat="1" applyFont="1" applyFill="1" applyAlignment="1">
      <alignment horizontal="center" vertical="top" wrapText="1"/>
    </xf>
    <xf numFmtId="0" fontId="25" fillId="0" borderId="0" xfId="0" applyFont="1">
      <alignment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3" fontId="21" fillId="0" borderId="0" xfId="0" applyNumberFormat="1" applyFont="1" applyFill="1" applyAlignment="1">
      <alignment horizontal="left" vertical="top" wrapText="1"/>
    </xf>
    <xf numFmtId="168" fontId="16" fillId="0" borderId="0" xfId="0" applyNumberFormat="1" applyFont="1" applyFill="1" applyAlignment="1">
      <alignment horizontal="left" vertical="top" wrapText="1"/>
    </xf>
    <xf numFmtId="3" fontId="2" fillId="2" borderId="0" xfId="0" applyNumberFormat="1" applyFont="1" applyFill="1" applyAlignment="1">
      <alignment horizontal="left" vertical="top" wrapText="1"/>
    </xf>
    <xf numFmtId="0" fontId="35" fillId="0" borderId="2" xfId="0" applyFont="1" applyFill="1" applyBorder="1" applyAlignment="1">
      <alignment vertical="center" wrapText="1"/>
    </xf>
    <xf numFmtId="49" fontId="10" fillId="0" borderId="0" xfId="0" applyNumberFormat="1" applyFont="1" applyFill="1" applyAlignment="1">
      <alignment horizontal="center" vertical="top" wrapText="1"/>
    </xf>
    <xf numFmtId="3" fontId="2" fillId="0" borderId="0" xfId="0" applyNumberFormat="1" applyFont="1" applyFill="1" applyAlignment="1">
      <alignment horizontal="center" vertical="top" wrapText="1"/>
    </xf>
    <xf numFmtId="49" fontId="9" fillId="2" borderId="0" xfId="0" applyNumberFormat="1" applyFont="1" applyFill="1" applyAlignment="1">
      <alignment horizontal="left" vertical="top" wrapText="1"/>
    </xf>
    <xf numFmtId="164" fontId="18" fillId="2" borderId="0" xfId="0" applyNumberFormat="1" applyFont="1" applyFill="1" applyAlignment="1">
      <alignment horizontal="left" vertical="top" wrapText="1"/>
    </xf>
    <xf numFmtId="49" fontId="26" fillId="3" borderId="0" xfId="0" applyNumberFormat="1" applyFont="1" applyFill="1" applyAlignment="1">
      <alignment horizontal="left" vertical="top" wrapText="1"/>
    </xf>
    <xf numFmtId="49" fontId="36" fillId="0" borderId="0" xfId="0" applyNumberFormat="1" applyFont="1" applyFill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168" fontId="16" fillId="2" borderId="0" xfId="0" applyNumberFormat="1" applyFont="1" applyFill="1" applyAlignment="1">
      <alignment horizontal="left" vertical="top" wrapText="1"/>
    </xf>
    <xf numFmtId="2" fontId="16" fillId="0" borderId="0" xfId="0" applyNumberFormat="1" applyFont="1" applyFill="1" applyAlignment="1">
      <alignment horizontal="left" vertical="top" wrapText="1"/>
    </xf>
    <xf numFmtId="49" fontId="37" fillId="0" borderId="0" xfId="0" applyNumberFormat="1" applyFont="1" applyFill="1" applyAlignment="1">
      <alignment vertical="top" wrapText="1"/>
    </xf>
    <xf numFmtId="164" fontId="16" fillId="2" borderId="0" xfId="0" applyNumberFormat="1" applyFont="1" applyFill="1" applyAlignment="1">
      <alignment horizontal="left" vertical="top" wrapText="1"/>
    </xf>
    <xf numFmtId="49" fontId="13" fillId="0" borderId="0" xfId="0" applyNumberFormat="1" applyFont="1" applyFill="1" applyAlignment="1">
      <alignment horizontal="left" vertical="top" wrapText="1"/>
    </xf>
    <xf numFmtId="4" fontId="1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167" fontId="26" fillId="2" borderId="0" xfId="0" applyNumberFormat="1" applyFont="1" applyFill="1" applyAlignment="1">
      <alignment horizontal="left" vertical="top" wrapText="1"/>
    </xf>
    <xf numFmtId="0" fontId="15" fillId="2" borderId="2" xfId="0" applyFont="1" applyFill="1" applyBorder="1" applyAlignment="1">
      <alignment horizontal="center" vertical="top" wrapText="1"/>
    </xf>
    <xf numFmtId="164" fontId="2" fillId="2" borderId="0" xfId="0" applyNumberFormat="1" applyFont="1" applyFill="1" applyAlignment="1">
      <alignment horizontal="left" vertical="top" wrapText="1"/>
    </xf>
    <xf numFmtId="49" fontId="3" fillId="5" borderId="0" xfId="0" applyNumberFormat="1" applyFont="1" applyFill="1" applyAlignment="1">
      <alignment horizontal="left" vertical="top" wrapText="1"/>
    </xf>
    <xf numFmtId="4" fontId="38" fillId="0" borderId="0" xfId="0" applyNumberFormat="1" applyFont="1" applyFill="1" applyAlignment="1">
      <alignment horizontal="left" vertical="top" wrapText="1"/>
    </xf>
    <xf numFmtId="4" fontId="38" fillId="0" borderId="0" xfId="0" applyNumberFormat="1" applyFont="1" applyFill="1" applyAlignment="1">
      <alignment vertical="top" wrapText="1"/>
    </xf>
    <xf numFmtId="0" fontId="2" fillId="2" borderId="7" xfId="0" applyFont="1" applyFill="1" applyBorder="1" applyAlignment="1">
      <alignment vertical="center" wrapText="1"/>
    </xf>
    <xf numFmtId="0" fontId="5" fillId="0" borderId="0" xfId="0" applyNumberFormat="1" applyFont="1" applyFill="1" applyAlignment="1">
      <alignment vertical="top" wrapText="1"/>
    </xf>
    <xf numFmtId="4" fontId="38" fillId="0" borderId="0" xfId="0" applyNumberFormat="1" applyFont="1" applyFill="1" applyAlignment="1">
      <alignment vertical="center" wrapText="1"/>
    </xf>
    <xf numFmtId="164" fontId="10" fillId="0" borderId="0" xfId="0" applyNumberFormat="1" applyFont="1" applyFill="1" applyAlignment="1">
      <alignment horizontal="left" vertical="top" wrapText="1"/>
    </xf>
    <xf numFmtId="3" fontId="40" fillId="0" borderId="0" xfId="0" applyNumberFormat="1" applyFont="1" applyFill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vertical="top" wrapText="1"/>
    </xf>
    <xf numFmtId="164" fontId="10" fillId="0" borderId="0" xfId="0" applyNumberFormat="1" applyFont="1" applyFill="1" applyAlignment="1">
      <alignment horizontal="center" vertical="top" wrapText="1"/>
    </xf>
    <xf numFmtId="4" fontId="10" fillId="0" borderId="0" xfId="0" applyNumberFormat="1" applyFont="1" applyFill="1" applyAlignment="1">
      <alignment horizontal="center" vertical="top"/>
    </xf>
    <xf numFmtId="0" fontId="2" fillId="2" borderId="2" xfId="0" applyFont="1" applyFill="1" applyBorder="1">
      <alignment vertical="top" wrapText="1"/>
    </xf>
    <xf numFmtId="164" fontId="2" fillId="0" borderId="0" xfId="0" applyNumberFormat="1" applyFont="1" applyFill="1" applyAlignment="1">
      <alignment horizontal="center" vertical="top" wrapText="1"/>
    </xf>
    <xf numFmtId="4" fontId="29" fillId="0" borderId="0" xfId="0" applyNumberFormat="1" applyFont="1" applyFill="1" applyAlignment="1">
      <alignment horizontal="center" vertical="top" wrapText="1"/>
    </xf>
    <xf numFmtId="0" fontId="39" fillId="2" borderId="2" xfId="0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49" fontId="41" fillId="0" borderId="0" xfId="0" applyNumberFormat="1" applyFont="1" applyFill="1" applyAlignment="1">
      <alignment horizontal="left" vertical="top" wrapText="1"/>
    </xf>
    <xf numFmtId="49" fontId="5" fillId="5" borderId="0" xfId="0" applyNumberFormat="1" applyFont="1" applyFill="1" applyAlignment="1">
      <alignment horizontal="left" vertical="top" wrapText="1"/>
    </xf>
    <xf numFmtId="49" fontId="26" fillId="2" borderId="0" xfId="0" applyNumberFormat="1" applyFont="1" applyFill="1" applyAlignment="1">
      <alignment horizontal="left" vertical="top" wrapText="1"/>
    </xf>
    <xf numFmtId="4" fontId="28" fillId="2" borderId="0" xfId="0" applyNumberFormat="1" applyFont="1" applyFill="1" applyAlignment="1">
      <alignment vertical="top" wrapText="1"/>
    </xf>
    <xf numFmtId="0" fontId="28" fillId="2" borderId="0" xfId="0" applyFont="1" applyFill="1" applyAlignment="1">
      <alignment vertical="top" wrapText="1"/>
    </xf>
    <xf numFmtId="0" fontId="2" fillId="0" borderId="0" xfId="0" applyNumberFormat="1" applyFont="1" applyFill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42" fillId="0" borderId="0" xfId="0" applyNumberFormat="1" applyFont="1" applyFill="1" applyAlignment="1">
      <alignment horizontal="left" vertical="top" wrapText="1"/>
    </xf>
    <xf numFmtId="49" fontId="43" fillId="7" borderId="0" xfId="0" applyNumberFormat="1" applyFont="1" applyFill="1" applyAlignment="1">
      <alignment horizontal="left" vertical="top" wrapText="1"/>
    </xf>
    <xf numFmtId="0" fontId="20" fillId="0" borderId="0" xfId="0" applyNumberFormat="1" applyFont="1" applyFill="1" applyAlignment="1">
      <alignment vertical="top" wrapText="1"/>
    </xf>
    <xf numFmtId="3" fontId="15" fillId="2" borderId="0" xfId="0" applyNumberFormat="1" applyFont="1" applyFill="1" applyAlignment="1">
      <alignment horizontal="left" vertical="top" wrapText="1"/>
    </xf>
    <xf numFmtId="164" fontId="27" fillId="2" borderId="0" xfId="0" applyNumberFormat="1" applyFont="1" applyFill="1" applyAlignment="1">
      <alignment horizontal="left" vertical="top" wrapText="1"/>
    </xf>
    <xf numFmtId="49" fontId="17" fillId="2" borderId="0" xfId="0" applyNumberFormat="1" applyFont="1" applyFill="1" applyAlignment="1">
      <alignment horizontal="left" vertical="top" wrapText="1"/>
    </xf>
    <xf numFmtId="0" fontId="2" fillId="2" borderId="2" xfId="0" applyNumberFormat="1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49" fontId="46" fillId="0" borderId="0" xfId="0" applyNumberFormat="1" applyFont="1" applyFill="1" applyAlignment="1">
      <alignment horizontal="left" vertical="top"/>
    </xf>
    <xf numFmtId="49" fontId="45" fillId="5" borderId="0" xfId="0" applyNumberFormat="1" applyFont="1" applyFill="1" applyAlignment="1">
      <alignment horizontal="right" vertical="top" wrapText="1"/>
    </xf>
    <xf numFmtId="1" fontId="26" fillId="0" borderId="0" xfId="0" applyNumberFormat="1" applyFont="1" applyFill="1" applyAlignment="1">
      <alignment horizontal="left" vertical="top" wrapText="1"/>
    </xf>
    <xf numFmtId="3" fontId="3" fillId="7" borderId="0" xfId="0" applyNumberFormat="1" applyFont="1" applyFill="1" applyAlignment="1">
      <alignment horizontal="left" vertical="center" wrapText="1"/>
    </xf>
    <xf numFmtId="49" fontId="45" fillId="0" borderId="0" xfId="0" applyNumberFormat="1" applyFont="1" applyFill="1" applyAlignment="1">
      <alignment horizontal="left" vertical="top" wrapText="1"/>
    </xf>
    <xf numFmtId="164" fontId="18" fillId="3" borderId="0" xfId="0" applyNumberFormat="1" applyFont="1" applyFill="1" applyAlignment="1">
      <alignment horizontal="left" vertical="top" wrapText="1"/>
    </xf>
    <xf numFmtId="4" fontId="47" fillId="0" borderId="0" xfId="0" applyNumberFormat="1" applyFont="1" applyFill="1" applyAlignment="1">
      <alignment vertical="top" wrapText="1"/>
    </xf>
    <xf numFmtId="4" fontId="48" fillId="0" borderId="0" xfId="0" applyNumberFormat="1" applyFont="1" applyFill="1" applyAlignment="1">
      <alignment vertical="top" wrapText="1"/>
    </xf>
    <xf numFmtId="164" fontId="16" fillId="0" borderId="0" xfId="0" applyNumberFormat="1" applyFont="1" applyFill="1" applyBorder="1" applyAlignment="1">
      <alignment horizontal="left" vertical="top" wrapText="1"/>
    </xf>
    <xf numFmtId="168" fontId="16" fillId="0" borderId="0" xfId="0" applyNumberFormat="1" applyFont="1" applyFill="1" applyBorder="1" applyAlignment="1">
      <alignment horizontal="left" vertical="top" wrapText="1"/>
    </xf>
    <xf numFmtId="49" fontId="18" fillId="2" borderId="0" xfId="0" applyNumberFormat="1" applyFont="1" applyFill="1" applyAlignment="1">
      <alignment horizontal="left" vertical="top" wrapText="1"/>
    </xf>
    <xf numFmtId="4" fontId="4" fillId="0" borderId="0" xfId="0" applyNumberFormat="1" applyFont="1" applyFill="1" applyAlignment="1">
      <alignment vertical="top" wrapText="1"/>
    </xf>
    <xf numFmtId="3" fontId="3" fillId="2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" fontId="5" fillId="2" borderId="0" xfId="0" applyNumberFormat="1" applyFont="1" applyFill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49" fontId="10" fillId="5" borderId="0" xfId="0" applyNumberFormat="1" applyFont="1" applyFill="1" applyAlignment="1">
      <alignment horizontal="left" vertical="top" wrapText="1"/>
    </xf>
    <xf numFmtId="168" fontId="10" fillId="0" borderId="0" xfId="0" applyNumberFormat="1" applyFont="1" applyFill="1" applyAlignment="1">
      <alignment horizontal="left" vertical="top" wrapText="1"/>
    </xf>
    <xf numFmtId="49" fontId="49" fillId="2" borderId="0" xfId="0" applyNumberFormat="1" applyFont="1" applyFill="1" applyAlignment="1">
      <alignment vertical="top" wrapText="1"/>
    </xf>
    <xf numFmtId="49" fontId="49" fillId="2" borderId="0" xfId="0" applyNumberFormat="1" applyFont="1" applyFill="1" applyAlignment="1">
      <alignment horizontal="left" vertical="center" wrapText="1"/>
    </xf>
    <xf numFmtId="49" fontId="49" fillId="0" borderId="0" xfId="0" applyNumberFormat="1" applyFont="1" applyFill="1" applyAlignment="1">
      <alignment vertical="center" wrapText="1"/>
    </xf>
    <xf numFmtId="0" fontId="49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vertical="center" wrapText="1"/>
    </xf>
    <xf numFmtId="0" fontId="4" fillId="0" borderId="0" xfId="0" applyNumberFormat="1" applyFont="1" applyFill="1" applyAlignment="1">
      <alignment horizontal="left" vertical="top" wrapText="1"/>
    </xf>
    <xf numFmtId="164" fontId="36" fillId="0" borderId="0" xfId="0" applyNumberFormat="1" applyFont="1" applyFill="1" applyAlignment="1">
      <alignment horizontal="left" vertical="top" wrapText="1"/>
    </xf>
    <xf numFmtId="4" fontId="50" fillId="0" borderId="0" xfId="0" applyNumberFormat="1" applyFont="1" applyFill="1" applyAlignment="1">
      <alignment vertical="top" wrapText="1"/>
    </xf>
    <xf numFmtId="0" fontId="50" fillId="0" borderId="0" xfId="0" applyFont="1" applyFill="1" applyAlignment="1">
      <alignment vertical="top" wrapText="1"/>
    </xf>
    <xf numFmtId="168" fontId="49" fillId="2" borderId="0" xfId="0" applyNumberFormat="1" applyFont="1" applyFill="1" applyAlignment="1">
      <alignment horizontal="left" vertical="top" wrapText="1"/>
    </xf>
    <xf numFmtId="4" fontId="45" fillId="2" borderId="0" xfId="0" applyNumberFormat="1" applyFont="1" applyFill="1" applyAlignment="1">
      <alignment horizontal="left" vertical="top" wrapText="1"/>
    </xf>
    <xf numFmtId="49" fontId="51" fillId="0" borderId="0" xfId="0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center" wrapText="1"/>
    </xf>
    <xf numFmtId="0" fontId="25" fillId="6" borderId="8" xfId="0" applyFont="1" applyFill="1" applyBorder="1" applyAlignment="1">
      <alignment horizontal="justify" vertical="center" wrapText="1"/>
    </xf>
    <xf numFmtId="165" fontId="26" fillId="0" borderId="0" xfId="0" applyNumberFormat="1" applyFont="1" applyFill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0" borderId="6" xfId="0" applyFont="1" applyBorder="1">
      <alignment vertical="top" wrapText="1"/>
    </xf>
    <xf numFmtId="0" fontId="25" fillId="0" borderId="2" xfId="0" applyFont="1" applyFill="1" applyBorder="1" applyAlignment="1">
      <alignment vertical="top" wrapText="1"/>
    </xf>
    <xf numFmtId="0" fontId="2" fillId="0" borderId="2" xfId="0" applyFont="1" applyBorder="1">
      <alignment vertical="top" wrapText="1"/>
    </xf>
    <xf numFmtId="165" fontId="31" fillId="0" borderId="0" xfId="0" applyNumberFormat="1" applyFont="1" applyFill="1" applyAlignment="1">
      <alignment horizontal="left" vertical="top" wrapText="1"/>
    </xf>
    <xf numFmtId="165" fontId="52" fillId="0" borderId="0" xfId="0" applyNumberFormat="1" applyFont="1" applyFill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2" fillId="5" borderId="0" xfId="0" applyNumberFormat="1" applyFont="1" applyFill="1" applyAlignment="1">
      <alignment horizontal="left" vertical="top" wrapText="1"/>
    </xf>
    <xf numFmtId="49" fontId="44" fillId="5" borderId="0" xfId="0" applyNumberFormat="1" applyFont="1" applyFill="1" applyAlignment="1">
      <alignment horizontal="right" vertical="top" wrapText="1"/>
    </xf>
    <xf numFmtId="0" fontId="25" fillId="2" borderId="9" xfId="0" applyFont="1" applyFill="1" applyBorder="1" applyAlignment="1">
      <alignment horizontal="left" vertical="top" wrapText="1"/>
    </xf>
    <xf numFmtId="49" fontId="5" fillId="2" borderId="0" xfId="0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vertical="top" wrapText="1"/>
    </xf>
    <xf numFmtId="49" fontId="4" fillId="5" borderId="0" xfId="0" applyNumberFormat="1" applyFont="1" applyFill="1" applyAlignment="1">
      <alignment horizontal="left" vertical="top" wrapText="1"/>
    </xf>
    <xf numFmtId="4" fontId="53" fillId="0" borderId="0" xfId="0" applyNumberFormat="1" applyFont="1" applyFill="1" applyAlignment="1">
      <alignment vertical="top" wrapText="1"/>
    </xf>
    <xf numFmtId="0" fontId="11" fillId="4" borderId="2" xfId="0" applyNumberFormat="1" applyFont="1" applyFill="1" applyBorder="1" applyAlignment="1">
      <alignment horizontal="center" vertical="top" wrapText="1"/>
    </xf>
    <xf numFmtId="49" fontId="45" fillId="5" borderId="0" xfId="0" applyNumberFormat="1" applyFont="1" applyFill="1" applyAlignment="1">
      <alignment horizontal="left" vertical="top" wrapText="1"/>
    </xf>
    <xf numFmtId="49" fontId="45" fillId="2" borderId="0" xfId="0" applyNumberFormat="1" applyFont="1" applyFill="1" applyAlignment="1">
      <alignment vertical="top" wrapText="1"/>
    </xf>
    <xf numFmtId="164" fontId="45" fillId="0" borderId="0" xfId="0" applyNumberFormat="1" applyFont="1" applyFill="1" applyAlignment="1">
      <alignment horizontal="left" vertical="top" wrapText="1"/>
    </xf>
    <xf numFmtId="164" fontId="54" fillId="0" borderId="0" xfId="0" applyNumberFormat="1" applyFont="1" applyFill="1" applyAlignment="1">
      <alignment horizontal="left" vertical="top" wrapText="1"/>
    </xf>
    <xf numFmtId="3" fontId="54" fillId="0" borderId="0" xfId="0" applyNumberFormat="1" applyFont="1" applyFill="1" applyAlignment="1">
      <alignment horizontal="left" vertical="top" wrapText="1"/>
    </xf>
    <xf numFmtId="49" fontId="27" fillId="0" borderId="0" xfId="0" applyNumberFormat="1" applyFont="1" applyFill="1" applyAlignment="1">
      <alignment horizontal="left" vertical="top" wrapText="1"/>
    </xf>
    <xf numFmtId="49" fontId="27" fillId="7" borderId="0" xfId="0" applyNumberFormat="1" applyFont="1" applyFill="1" applyAlignment="1">
      <alignment horizontal="left" vertical="center" wrapText="1"/>
    </xf>
    <xf numFmtId="164" fontId="27" fillId="0" borderId="0" xfId="0" applyNumberFormat="1" applyFont="1" applyFill="1" applyAlignment="1">
      <alignment horizontal="left" vertical="top" wrapText="1"/>
    </xf>
    <xf numFmtId="49" fontId="55" fillId="0" borderId="0" xfId="0" applyNumberFormat="1" applyFont="1" applyFill="1" applyAlignment="1">
      <alignment vertical="top"/>
    </xf>
    <xf numFmtId="49" fontId="31" fillId="0" borderId="0" xfId="0" applyNumberFormat="1" applyFont="1" applyFill="1" applyAlignment="1">
      <alignment horizontal="left" vertical="top" wrapText="1"/>
    </xf>
    <xf numFmtId="49" fontId="4" fillId="2" borderId="0" xfId="0" applyNumberFormat="1" applyFont="1" applyFill="1" applyAlignment="1">
      <alignment horizontal="left" vertical="top" wrapText="1"/>
    </xf>
    <xf numFmtId="164" fontId="7" fillId="2" borderId="2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Alignment="1">
      <alignment horizontal="left" vertical="top" wrapText="1"/>
    </xf>
    <xf numFmtId="164" fontId="16" fillId="3" borderId="0" xfId="0" applyNumberFormat="1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4" fontId="31" fillId="0" borderId="0" xfId="0" applyNumberFormat="1" applyFont="1" applyFill="1" applyAlignment="1">
      <alignment horizontal="right" vertical="top" wrapText="1"/>
    </xf>
    <xf numFmtId="49" fontId="2" fillId="0" borderId="0" xfId="0" applyNumberFormat="1" applyFont="1" applyFill="1" applyAlignment="1">
      <alignment horizontal="left" vertical="top" wrapText="1"/>
    </xf>
    <xf numFmtId="49" fontId="57" fillId="2" borderId="0" xfId="0" applyNumberFormat="1" applyFont="1" applyFill="1" applyAlignment="1">
      <alignment horizontal="left" vertical="top" wrapText="1"/>
    </xf>
    <xf numFmtId="164" fontId="56" fillId="0" borderId="0" xfId="0" applyNumberFormat="1" applyFont="1" applyFill="1" applyAlignment="1">
      <alignment horizontal="left" vertical="top" wrapText="1"/>
    </xf>
    <xf numFmtId="164" fontId="9" fillId="2" borderId="0" xfId="0" applyNumberFormat="1" applyFont="1" applyFill="1" applyAlignment="1">
      <alignment horizontal="left" vertical="top" wrapText="1"/>
    </xf>
    <xf numFmtId="49" fontId="58" fillId="7" borderId="0" xfId="0" applyNumberFormat="1" applyFont="1" applyFill="1" applyAlignment="1">
      <alignment horizontal="left" vertical="top" wrapText="1"/>
    </xf>
    <xf numFmtId="4" fontId="59" fillId="0" borderId="0" xfId="0" applyNumberFormat="1" applyFont="1" applyFill="1" applyAlignment="1">
      <alignment vertical="top" wrapText="1"/>
    </xf>
    <xf numFmtId="49" fontId="60" fillId="0" borderId="0" xfId="0" applyNumberFormat="1" applyFont="1" applyFill="1" applyAlignment="1">
      <alignment horizontal="center" vertical="top" wrapText="1"/>
    </xf>
    <xf numFmtId="49" fontId="60" fillId="2" borderId="0" xfId="0" applyNumberFormat="1" applyFont="1" applyFill="1" applyAlignment="1">
      <alignment horizontal="left" vertical="top" wrapText="1"/>
    </xf>
    <xf numFmtId="0" fontId="27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3" fontId="27" fillId="0" borderId="0" xfId="0" applyNumberFormat="1" applyFont="1" applyFill="1" applyAlignment="1">
      <alignment horizontal="left" vertical="top" wrapText="1"/>
    </xf>
    <xf numFmtId="49" fontId="19" fillId="0" borderId="0" xfId="0" applyNumberFormat="1" applyFont="1" applyFill="1" applyAlignment="1">
      <alignment vertical="top"/>
    </xf>
    <xf numFmtId="0" fontId="55" fillId="0" borderId="0" xfId="0" applyFont="1" applyFill="1" applyAlignment="1">
      <alignment vertical="top" wrapText="1"/>
    </xf>
    <xf numFmtId="4" fontId="61" fillId="0" borderId="0" xfId="0" applyNumberFormat="1" applyFont="1" applyFill="1" applyAlignment="1">
      <alignment vertical="top" wrapText="1"/>
    </xf>
    <xf numFmtId="0" fontId="52" fillId="0" borderId="0" xfId="0" applyFont="1" applyFill="1" applyAlignment="1">
      <alignment horizontal="left" vertical="top" wrapText="1"/>
    </xf>
    <xf numFmtId="0" fontId="2" fillId="2" borderId="8" xfId="0" applyFont="1" applyFill="1" applyBorder="1" applyAlignment="1">
      <alignment wrapText="1"/>
    </xf>
    <xf numFmtId="164" fontId="28" fillId="0" borderId="0" xfId="0" applyNumberFormat="1" applyFont="1" applyFill="1" applyAlignment="1">
      <alignment horizontal="right" vertical="top" wrapText="1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Alignment="1">
      <alignment horizontal="left" vertical="center" wrapText="1"/>
    </xf>
    <xf numFmtId="4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left" vertical="center" wrapText="1"/>
    </xf>
    <xf numFmtId="164" fontId="10" fillId="0" borderId="0" xfId="0" applyNumberFormat="1" applyFont="1" applyFill="1" applyAlignment="1">
      <alignment horizontal="left" vertical="center" wrapText="1"/>
    </xf>
    <xf numFmtId="164" fontId="16" fillId="0" borderId="0" xfId="0" applyNumberFormat="1" applyFont="1" applyFill="1" applyAlignment="1">
      <alignment horizontal="left" vertical="center" wrapText="1"/>
    </xf>
    <xf numFmtId="0" fontId="7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11" fillId="0" borderId="2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25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center" wrapText="1"/>
    </xf>
    <xf numFmtId="164" fontId="3" fillId="4" borderId="2" xfId="0" applyNumberFormat="1" applyFont="1" applyFill="1" applyBorder="1" applyAlignment="1">
      <alignment horizontal="center" vertical="top" wrapText="1"/>
    </xf>
    <xf numFmtId="3" fontId="63" fillId="0" borderId="0" xfId="0" applyNumberFormat="1" applyFont="1" applyFill="1" applyAlignment="1">
      <alignment horizontal="left" vertical="top" wrapText="1"/>
    </xf>
    <xf numFmtId="0" fontId="31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Fill="1" applyAlignment="1">
      <alignment horizontal="left" vertical="top" wrapText="1"/>
    </xf>
    <xf numFmtId="49" fontId="15" fillId="2" borderId="2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left" vertical="center" wrapText="1"/>
    </xf>
    <xf numFmtId="164" fontId="15" fillId="2" borderId="0" xfId="0" applyNumberFormat="1" applyFont="1" applyFill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2" fontId="9" fillId="0" borderId="0" xfId="0" applyNumberFormat="1" applyFont="1" applyFill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/>
    </xf>
    <xf numFmtId="49" fontId="11" fillId="2" borderId="2" xfId="0" applyNumberFormat="1" applyFont="1" applyFill="1" applyBorder="1" applyAlignment="1">
      <alignment horizontal="center" vertical="center" wrapText="1"/>
    </xf>
    <xf numFmtId="49" fontId="7" fillId="2" borderId="2" xfId="0" quotePrefix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/>
    </xf>
    <xf numFmtId="49" fontId="7" fillId="2" borderId="10" xfId="1" applyNumberFormat="1" applyFont="1" applyFill="1" applyBorder="1" applyAlignment="1">
      <alignment horizontal="center" vertical="center"/>
    </xf>
    <xf numFmtId="49" fontId="28" fillId="2" borderId="0" xfId="0" applyNumberFormat="1" applyFont="1" applyFill="1" applyAlignment="1">
      <alignment horizontal="left" vertical="top" wrapText="1"/>
    </xf>
    <xf numFmtId="49" fontId="1" fillId="2" borderId="0" xfId="0" applyNumberFormat="1" applyFont="1" applyFill="1" applyAlignment="1">
      <alignment horizontal="left" vertical="top" wrapText="1"/>
    </xf>
    <xf numFmtId="164" fontId="29" fillId="0" borderId="2" xfId="0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top" wrapText="1"/>
    </xf>
    <xf numFmtId="164" fontId="2" fillId="0" borderId="2" xfId="1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49" fontId="64" fillId="0" borderId="0" xfId="0" applyNumberFormat="1" applyFont="1" applyFill="1" applyAlignment="1">
      <alignment horizontal="left" vertical="top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62" fillId="4" borderId="2" xfId="0" applyNumberFormat="1" applyFont="1" applyFill="1" applyBorder="1" applyAlignment="1">
      <alignment horizontal="center" vertical="top" wrapText="1"/>
    </xf>
    <xf numFmtId="164" fontId="11" fillId="4" borderId="2" xfId="0" applyNumberFormat="1" applyFont="1" applyFill="1" applyBorder="1" applyAlignment="1">
      <alignment horizontal="center" vertical="top" wrapText="1"/>
    </xf>
    <xf numFmtId="165" fontId="27" fillId="0" borderId="0" xfId="0" applyNumberFormat="1" applyFont="1" applyFill="1" applyAlignment="1">
      <alignment horizontal="left" vertical="top" wrapText="1"/>
    </xf>
    <xf numFmtId="49" fontId="27" fillId="0" borderId="0" xfId="0" applyNumberFormat="1" applyFont="1" applyFill="1" applyAlignment="1">
      <alignment vertical="top"/>
    </xf>
    <xf numFmtId="0" fontId="2" fillId="0" borderId="2" xfId="0" applyNumberFormat="1" applyFont="1" applyBorder="1" applyAlignment="1">
      <alignment vertical="center" wrapText="1"/>
    </xf>
    <xf numFmtId="49" fontId="42" fillId="0" borderId="0" xfId="0" applyNumberFormat="1" applyFont="1" applyFill="1" applyAlignment="1">
      <alignment horizontal="left" vertical="top" wrapText="1"/>
    </xf>
    <xf numFmtId="49" fontId="65" fillId="0" borderId="0" xfId="0" applyNumberFormat="1" applyFont="1" applyFill="1" applyAlignment="1">
      <alignment horizontal="left" vertical="top" wrapText="1"/>
    </xf>
    <xf numFmtId="49" fontId="32" fillId="5" borderId="0" xfId="0" applyNumberFormat="1" applyFont="1" applyFill="1" applyAlignment="1">
      <alignment horizontal="left" vertical="top" wrapText="1"/>
    </xf>
    <xf numFmtId="49" fontId="32" fillId="5" borderId="0" xfId="0" applyNumberFormat="1" applyFont="1" applyFill="1" applyAlignment="1">
      <alignment horizontal="right" vertical="top" wrapText="1"/>
    </xf>
    <xf numFmtId="49" fontId="32" fillId="0" borderId="0" xfId="0" applyNumberFormat="1" applyFont="1" applyFill="1" applyBorder="1" applyAlignment="1">
      <alignment horizontal="left" vertical="top" wrapText="1"/>
    </xf>
    <xf numFmtId="49" fontId="32" fillId="0" borderId="0" xfId="0" applyNumberFormat="1" applyFont="1" applyFill="1" applyAlignment="1">
      <alignment horizontal="left" vertical="top" wrapText="1"/>
    </xf>
    <xf numFmtId="4" fontId="66" fillId="0" borderId="0" xfId="0" applyNumberFormat="1" applyFont="1" applyFill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67" fillId="0" borderId="0" xfId="0" applyNumberFormat="1" applyFont="1" applyFill="1" applyAlignment="1">
      <alignment vertical="top" wrapText="1"/>
    </xf>
    <xf numFmtId="49" fontId="67" fillId="2" borderId="0" xfId="0" applyNumberFormat="1" applyFont="1" applyFill="1" applyAlignment="1">
      <alignment vertical="top" wrapText="1"/>
    </xf>
    <xf numFmtId="4" fontId="68" fillId="0" borderId="0" xfId="0" applyNumberFormat="1" applyFont="1" applyFill="1" applyAlignment="1">
      <alignment vertical="top" wrapText="1"/>
    </xf>
    <xf numFmtId="164" fontId="45" fillId="2" borderId="0" xfId="0" applyNumberFormat="1" applyFont="1" applyFill="1" applyAlignment="1">
      <alignment horizontal="left" vertical="top" wrapText="1"/>
    </xf>
    <xf numFmtId="3" fontId="45" fillId="2" borderId="0" xfId="0" applyNumberFormat="1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left" vertical="center" wrapText="1"/>
    </xf>
    <xf numFmtId="164" fontId="5" fillId="2" borderId="0" xfId="0" applyNumberFormat="1" applyFont="1" applyFill="1" applyAlignment="1">
      <alignment horizontal="left" vertical="top" wrapText="1"/>
    </xf>
    <xf numFmtId="164" fontId="2" fillId="3" borderId="0" xfId="0" applyNumberFormat="1" applyFont="1" applyFill="1" applyAlignment="1">
      <alignment horizontal="left" vertical="top" wrapText="1"/>
    </xf>
    <xf numFmtId="49" fontId="32" fillId="7" borderId="0" xfId="0" applyNumberFormat="1" applyFont="1" applyFill="1" applyAlignment="1">
      <alignment horizontal="left" vertical="top" wrapText="1"/>
    </xf>
    <xf numFmtId="49" fontId="32" fillId="0" borderId="0" xfId="0" applyNumberFormat="1" applyFont="1" applyFill="1" applyAlignment="1">
      <alignment horizontal="left" vertical="center" wrapText="1"/>
    </xf>
    <xf numFmtId="0" fontId="25" fillId="0" borderId="12" xfId="0" applyFont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7" xfId="0" applyFont="1" applyBorder="1" applyAlignment="1">
      <alignment horizontal="left" vertical="top" wrapText="1"/>
    </xf>
    <xf numFmtId="164" fontId="32" fillId="0" borderId="0" xfId="0" applyNumberFormat="1" applyFont="1" applyFill="1" applyAlignment="1">
      <alignment horizontal="left" vertical="top" wrapText="1"/>
    </xf>
    <xf numFmtId="165" fontId="69" fillId="0" borderId="0" xfId="0" applyNumberFormat="1" applyFont="1" applyFill="1" applyAlignment="1">
      <alignment horizontal="left" vertical="top" wrapText="1"/>
    </xf>
    <xf numFmtId="49" fontId="26" fillId="0" borderId="0" xfId="0" applyNumberFormat="1" applyFont="1" applyFill="1" applyAlignment="1">
      <alignment horizontal="left" vertical="top" wrapText="1"/>
    </xf>
    <xf numFmtId="49" fontId="26" fillId="0" borderId="0" xfId="0" applyNumberFormat="1" applyFont="1" applyFill="1" applyAlignment="1">
      <alignment horizontal="left" vertical="center" wrapText="1"/>
    </xf>
    <xf numFmtId="0" fontId="25" fillId="0" borderId="8" xfId="0" applyFont="1" applyBorder="1" applyAlignment="1">
      <alignment horizontal="justify" vertical="center" wrapText="1"/>
    </xf>
    <xf numFmtId="0" fontId="25" fillId="0" borderId="8" xfId="0" applyFont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vertical="center" wrapText="1"/>
    </xf>
    <xf numFmtId="4" fontId="52" fillId="0" borderId="0" xfId="0" applyNumberFormat="1" applyFont="1" applyFill="1" applyAlignment="1">
      <alignment vertical="top" wrapText="1"/>
    </xf>
    <xf numFmtId="0" fontId="32" fillId="0" borderId="0" xfId="0" applyNumberFormat="1" applyFont="1" applyFill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_Расходы бюджета" xfId="1"/>
  </cellStyles>
  <dxfs count="0"/>
  <tableStyles count="0" defaultTableStyle="TableStyleMedium2" defaultPivotStyle="PivotStyleLight16"/>
  <colors>
    <mruColors>
      <color rgb="FF0000FF"/>
      <color rgb="FFB413F5"/>
      <color rgb="FF390FB1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93.xml"/><Relationship Id="rId21" Type="http://schemas.openxmlformats.org/officeDocument/2006/relationships/revisionLog" Target="revisionLog14.xml"/><Relationship Id="rId42" Type="http://schemas.openxmlformats.org/officeDocument/2006/relationships/revisionLog" Target="revisionLog15.xml"/><Relationship Id="rId63" Type="http://schemas.openxmlformats.org/officeDocument/2006/relationships/revisionLog" Target="revisionLog11.xml"/><Relationship Id="rId84" Type="http://schemas.openxmlformats.org/officeDocument/2006/relationships/revisionLog" Target="revisionLog66.xml"/><Relationship Id="rId138" Type="http://schemas.openxmlformats.org/officeDocument/2006/relationships/revisionLog" Target="revisionLog116.xml"/><Relationship Id="rId159" Type="http://schemas.openxmlformats.org/officeDocument/2006/relationships/revisionLog" Target="revisionLog140.xml"/><Relationship Id="rId170" Type="http://schemas.openxmlformats.org/officeDocument/2006/relationships/revisionLog" Target="revisionLog152.xml"/><Relationship Id="rId191" Type="http://schemas.openxmlformats.org/officeDocument/2006/relationships/revisionLog" Target="revisionLog175.xml"/><Relationship Id="rId205" Type="http://schemas.openxmlformats.org/officeDocument/2006/relationships/revisionLog" Target="revisionLog187.xml"/><Relationship Id="rId226" Type="http://schemas.openxmlformats.org/officeDocument/2006/relationships/revisionLog" Target="revisionLog203.xml"/><Relationship Id="rId107" Type="http://schemas.openxmlformats.org/officeDocument/2006/relationships/revisionLog" Target="revisionLog83.xml"/><Relationship Id="rId11" Type="http://schemas.openxmlformats.org/officeDocument/2006/relationships/revisionLog" Target="revisionLog1311.xml"/><Relationship Id="rId32" Type="http://schemas.openxmlformats.org/officeDocument/2006/relationships/revisionLog" Target="revisionLog1511.xml"/><Relationship Id="rId53" Type="http://schemas.openxmlformats.org/officeDocument/2006/relationships/revisionLog" Target="revisionLog39.xml"/><Relationship Id="rId74" Type="http://schemas.openxmlformats.org/officeDocument/2006/relationships/revisionLog" Target="revisionLog58.xml"/><Relationship Id="rId128" Type="http://schemas.openxmlformats.org/officeDocument/2006/relationships/revisionLog" Target="revisionLog104.xml"/><Relationship Id="rId149" Type="http://schemas.openxmlformats.org/officeDocument/2006/relationships/revisionLog" Target="revisionLog129.xml"/><Relationship Id="rId5" Type="http://schemas.openxmlformats.org/officeDocument/2006/relationships/revisionLog" Target="revisionLog12111.xml"/><Relationship Id="rId95" Type="http://schemas.openxmlformats.org/officeDocument/2006/relationships/revisionLog" Target="revisionLog77.xml"/><Relationship Id="rId160" Type="http://schemas.openxmlformats.org/officeDocument/2006/relationships/revisionLog" Target="revisionLog142.xml"/><Relationship Id="rId181" Type="http://schemas.openxmlformats.org/officeDocument/2006/relationships/revisionLog" Target="revisionLog164.xml"/><Relationship Id="rId216" Type="http://schemas.openxmlformats.org/officeDocument/2006/relationships/revisionLog" Target="revisionLog1.xml"/><Relationship Id="rId22" Type="http://schemas.openxmlformats.org/officeDocument/2006/relationships/revisionLog" Target="revisionLog10.xml"/><Relationship Id="rId43" Type="http://schemas.openxmlformats.org/officeDocument/2006/relationships/revisionLog" Target="revisionLog110.xml"/><Relationship Id="rId64" Type="http://schemas.openxmlformats.org/officeDocument/2006/relationships/revisionLog" Target="revisionLog48.xml"/><Relationship Id="rId118" Type="http://schemas.openxmlformats.org/officeDocument/2006/relationships/revisionLog" Target="revisionLog94.xml"/><Relationship Id="rId139" Type="http://schemas.openxmlformats.org/officeDocument/2006/relationships/revisionLog" Target="revisionLog121.xml"/><Relationship Id="rId85" Type="http://schemas.openxmlformats.org/officeDocument/2006/relationships/revisionLog" Target="revisionLog67.xml"/><Relationship Id="rId150" Type="http://schemas.openxmlformats.org/officeDocument/2006/relationships/revisionLog" Target="revisionLog130.xml"/><Relationship Id="rId171" Type="http://schemas.openxmlformats.org/officeDocument/2006/relationships/revisionLog" Target="revisionLog153.xml"/><Relationship Id="rId192" Type="http://schemas.openxmlformats.org/officeDocument/2006/relationships/revisionLog" Target="revisionLog176.xml"/><Relationship Id="rId206" Type="http://schemas.openxmlformats.org/officeDocument/2006/relationships/revisionLog" Target="revisionLog188.xml"/><Relationship Id="rId227" Type="http://schemas.openxmlformats.org/officeDocument/2006/relationships/revisionLog" Target="revisionLog204.xml"/><Relationship Id="rId12" Type="http://schemas.openxmlformats.org/officeDocument/2006/relationships/revisionLog" Target="revisionLog1211.xml"/><Relationship Id="rId33" Type="http://schemas.openxmlformats.org/officeDocument/2006/relationships/revisionLog" Target="revisionLog23.xml"/><Relationship Id="rId108" Type="http://schemas.openxmlformats.org/officeDocument/2006/relationships/revisionLog" Target="revisionLog84.xml"/><Relationship Id="rId129" Type="http://schemas.openxmlformats.org/officeDocument/2006/relationships/revisionLog" Target="revisionLog105.xml"/><Relationship Id="rId54" Type="http://schemas.openxmlformats.org/officeDocument/2006/relationships/revisionLog" Target="revisionLog40.xml"/><Relationship Id="rId75" Type="http://schemas.openxmlformats.org/officeDocument/2006/relationships/revisionLog" Target="revisionLog59.xml"/><Relationship Id="rId96" Type="http://schemas.openxmlformats.org/officeDocument/2006/relationships/revisionLog" Target="revisionLog19.xml"/><Relationship Id="rId140" Type="http://schemas.openxmlformats.org/officeDocument/2006/relationships/revisionLog" Target="revisionLog117.xml"/><Relationship Id="rId161" Type="http://schemas.openxmlformats.org/officeDocument/2006/relationships/revisionLog" Target="revisionLog143.xml"/><Relationship Id="rId182" Type="http://schemas.openxmlformats.org/officeDocument/2006/relationships/revisionLog" Target="revisionLog165.xml"/><Relationship Id="rId217" Type="http://schemas.openxmlformats.org/officeDocument/2006/relationships/revisionLog" Target="revisionLog194.xml"/><Relationship Id="rId6" Type="http://schemas.openxmlformats.org/officeDocument/2006/relationships/revisionLog" Target="revisionLog12112.xml"/><Relationship Id="rId23" Type="http://schemas.openxmlformats.org/officeDocument/2006/relationships/revisionLog" Target="revisionLog15111.xml"/><Relationship Id="rId119" Type="http://schemas.openxmlformats.org/officeDocument/2006/relationships/revisionLog" Target="revisionLog95.xml"/><Relationship Id="rId44" Type="http://schemas.openxmlformats.org/officeDocument/2006/relationships/revisionLog" Target="revisionLog112.xml"/><Relationship Id="rId65" Type="http://schemas.openxmlformats.org/officeDocument/2006/relationships/revisionLog" Target="revisionLog49.xml"/><Relationship Id="rId86" Type="http://schemas.openxmlformats.org/officeDocument/2006/relationships/revisionLog" Target="revisionLog68.xml"/><Relationship Id="rId130" Type="http://schemas.openxmlformats.org/officeDocument/2006/relationships/revisionLog" Target="revisionLog106.xml"/><Relationship Id="rId151" Type="http://schemas.openxmlformats.org/officeDocument/2006/relationships/revisionLog" Target="revisionLog133.xml"/><Relationship Id="rId172" Type="http://schemas.openxmlformats.org/officeDocument/2006/relationships/revisionLog" Target="revisionLog154.xml"/><Relationship Id="rId193" Type="http://schemas.openxmlformats.org/officeDocument/2006/relationships/revisionLog" Target="revisionLog177.xml"/><Relationship Id="rId207" Type="http://schemas.openxmlformats.org/officeDocument/2006/relationships/revisionLog" Target="revisionLog122.xml"/><Relationship Id="rId228" Type="http://schemas.openxmlformats.org/officeDocument/2006/relationships/revisionLog" Target="revisionLog205.xml"/><Relationship Id="rId13" Type="http://schemas.openxmlformats.org/officeDocument/2006/relationships/revisionLog" Target="revisionLog12211.xml"/><Relationship Id="rId109" Type="http://schemas.openxmlformats.org/officeDocument/2006/relationships/revisionLog" Target="revisionLog85.xml"/><Relationship Id="rId34" Type="http://schemas.openxmlformats.org/officeDocument/2006/relationships/revisionLog" Target="revisionLog24.xml"/><Relationship Id="rId55" Type="http://schemas.openxmlformats.org/officeDocument/2006/relationships/revisionLog" Target="revisionLog41.xml"/><Relationship Id="rId76" Type="http://schemas.openxmlformats.org/officeDocument/2006/relationships/revisionLog" Target="revisionLog60.xml"/><Relationship Id="rId97" Type="http://schemas.openxmlformats.org/officeDocument/2006/relationships/revisionLog" Target="revisionLog123.xml"/><Relationship Id="rId120" Type="http://schemas.openxmlformats.org/officeDocument/2006/relationships/revisionLog" Target="revisionLog96.xml"/><Relationship Id="rId141" Type="http://schemas.openxmlformats.org/officeDocument/2006/relationships/revisionLog" Target="revisionLog118.xml"/><Relationship Id="rId7" Type="http://schemas.openxmlformats.org/officeDocument/2006/relationships/revisionLog" Target="revisionLog5.xml"/><Relationship Id="rId162" Type="http://schemas.openxmlformats.org/officeDocument/2006/relationships/revisionLog" Target="revisionLog144.xml"/><Relationship Id="rId183" Type="http://schemas.openxmlformats.org/officeDocument/2006/relationships/revisionLog" Target="revisionLog166.xml"/><Relationship Id="rId218" Type="http://schemas.openxmlformats.org/officeDocument/2006/relationships/revisionLog" Target="revisionLog195.xml"/><Relationship Id="rId24" Type="http://schemas.openxmlformats.org/officeDocument/2006/relationships/revisionLog" Target="revisionLog161.xml"/><Relationship Id="rId45" Type="http://schemas.openxmlformats.org/officeDocument/2006/relationships/revisionLog" Target="revisionLog31.xml"/><Relationship Id="rId66" Type="http://schemas.openxmlformats.org/officeDocument/2006/relationships/revisionLog" Target="revisionLog50.xml"/><Relationship Id="rId87" Type="http://schemas.openxmlformats.org/officeDocument/2006/relationships/revisionLog" Target="revisionLog69.xml"/><Relationship Id="rId110" Type="http://schemas.openxmlformats.org/officeDocument/2006/relationships/revisionLog" Target="revisionLog86.xml"/><Relationship Id="rId131" Type="http://schemas.openxmlformats.org/officeDocument/2006/relationships/revisionLog" Target="revisionLog107.xml"/><Relationship Id="rId152" Type="http://schemas.openxmlformats.org/officeDocument/2006/relationships/revisionLog" Target="revisionLog134.xml"/><Relationship Id="rId173" Type="http://schemas.openxmlformats.org/officeDocument/2006/relationships/revisionLog" Target="revisionLog155.xml"/><Relationship Id="rId194" Type="http://schemas.openxmlformats.org/officeDocument/2006/relationships/revisionLog" Target="revisionLog178.xml"/><Relationship Id="rId208" Type="http://schemas.openxmlformats.org/officeDocument/2006/relationships/revisionLog" Target="revisionLog111.xml"/><Relationship Id="rId229" Type="http://schemas.openxmlformats.org/officeDocument/2006/relationships/revisionLog" Target="revisionLog206.xml"/><Relationship Id="rId14" Type="http://schemas.openxmlformats.org/officeDocument/2006/relationships/revisionLog" Target="revisionLog6.xml"/><Relationship Id="rId35" Type="http://schemas.openxmlformats.org/officeDocument/2006/relationships/revisionLog" Target="revisionLog25.xml"/><Relationship Id="rId56" Type="http://schemas.openxmlformats.org/officeDocument/2006/relationships/revisionLog" Target="revisionLog42.xml"/><Relationship Id="rId77" Type="http://schemas.openxmlformats.org/officeDocument/2006/relationships/revisionLog" Target="revisionLog1711.xml"/><Relationship Id="rId100" Type="http://schemas.openxmlformats.org/officeDocument/2006/relationships/revisionLog" Target="revisionLog137.xml"/><Relationship Id="rId8" Type="http://schemas.openxmlformats.org/officeDocument/2006/relationships/revisionLog" Target="revisionLog1121.xml"/><Relationship Id="rId98" Type="http://schemas.openxmlformats.org/officeDocument/2006/relationships/revisionLog" Target="revisionLog78.xml"/><Relationship Id="rId121" Type="http://schemas.openxmlformats.org/officeDocument/2006/relationships/revisionLog" Target="revisionLog97.xml"/><Relationship Id="rId142" Type="http://schemas.openxmlformats.org/officeDocument/2006/relationships/revisionLog" Target="revisionLog119.xml"/><Relationship Id="rId163" Type="http://schemas.openxmlformats.org/officeDocument/2006/relationships/revisionLog" Target="revisionLog145.xml"/><Relationship Id="rId184" Type="http://schemas.openxmlformats.org/officeDocument/2006/relationships/revisionLog" Target="revisionLog167.xml"/><Relationship Id="rId219" Type="http://schemas.openxmlformats.org/officeDocument/2006/relationships/revisionLog" Target="revisionLog196.xml"/><Relationship Id="rId25" Type="http://schemas.openxmlformats.org/officeDocument/2006/relationships/revisionLog" Target="revisionLog17111.xml"/><Relationship Id="rId46" Type="http://schemas.openxmlformats.org/officeDocument/2006/relationships/revisionLog" Target="revisionLog32.xml"/><Relationship Id="rId67" Type="http://schemas.openxmlformats.org/officeDocument/2006/relationships/revisionLog" Target="revisionLog51.xml"/><Relationship Id="rId116" Type="http://schemas.openxmlformats.org/officeDocument/2006/relationships/revisionLog" Target="revisionLog92.xml"/><Relationship Id="rId137" Type="http://schemas.openxmlformats.org/officeDocument/2006/relationships/revisionLog" Target="revisionLog1151.xml"/><Relationship Id="rId158" Type="http://schemas.openxmlformats.org/officeDocument/2006/relationships/revisionLog" Target="revisionLog139.xml"/><Relationship Id="rId20" Type="http://schemas.openxmlformats.org/officeDocument/2006/relationships/revisionLog" Target="revisionLog9.xml"/><Relationship Id="rId41" Type="http://schemas.openxmlformats.org/officeDocument/2006/relationships/revisionLog" Target="revisionLog30.xml"/><Relationship Id="rId62" Type="http://schemas.openxmlformats.org/officeDocument/2006/relationships/revisionLog" Target="revisionLog1112.xml"/><Relationship Id="rId83" Type="http://schemas.openxmlformats.org/officeDocument/2006/relationships/revisionLog" Target="revisionLog65.xml"/><Relationship Id="rId88" Type="http://schemas.openxmlformats.org/officeDocument/2006/relationships/revisionLog" Target="revisionLog70.xml"/><Relationship Id="rId111" Type="http://schemas.openxmlformats.org/officeDocument/2006/relationships/revisionLog" Target="revisionLog87.xml"/><Relationship Id="rId132" Type="http://schemas.openxmlformats.org/officeDocument/2006/relationships/revisionLog" Target="revisionLog1221.xml"/><Relationship Id="rId153" Type="http://schemas.openxmlformats.org/officeDocument/2006/relationships/revisionLog" Target="revisionLog1341.xml"/><Relationship Id="rId174" Type="http://schemas.openxmlformats.org/officeDocument/2006/relationships/revisionLog" Target="revisionLog156.xml"/><Relationship Id="rId179" Type="http://schemas.openxmlformats.org/officeDocument/2006/relationships/revisionLog" Target="revisionLog162.xml"/><Relationship Id="rId195" Type="http://schemas.openxmlformats.org/officeDocument/2006/relationships/revisionLog" Target="revisionLog179.xml"/><Relationship Id="rId209" Type="http://schemas.openxmlformats.org/officeDocument/2006/relationships/revisionLog" Target="revisionLog120.xml"/><Relationship Id="rId190" Type="http://schemas.openxmlformats.org/officeDocument/2006/relationships/revisionLog" Target="revisionLog174.xml"/><Relationship Id="rId204" Type="http://schemas.openxmlformats.org/officeDocument/2006/relationships/revisionLog" Target="revisionLog128.xml"/><Relationship Id="rId220" Type="http://schemas.openxmlformats.org/officeDocument/2006/relationships/revisionLog" Target="revisionLog197.xml"/><Relationship Id="rId225" Type="http://schemas.openxmlformats.org/officeDocument/2006/relationships/revisionLog" Target="revisionLog202.xml"/><Relationship Id="rId15" Type="http://schemas.openxmlformats.org/officeDocument/2006/relationships/revisionLog" Target="revisionLog7.xml"/><Relationship Id="rId36" Type="http://schemas.openxmlformats.org/officeDocument/2006/relationships/revisionLog" Target="revisionLog26.xml"/><Relationship Id="rId57" Type="http://schemas.openxmlformats.org/officeDocument/2006/relationships/revisionLog" Target="revisionLog43.xml"/><Relationship Id="rId106" Type="http://schemas.openxmlformats.org/officeDocument/2006/relationships/revisionLog" Target="revisionLog82.xml"/><Relationship Id="rId127" Type="http://schemas.openxmlformats.org/officeDocument/2006/relationships/revisionLog" Target="revisionLog103.xml"/><Relationship Id="rId10" Type="http://schemas.openxmlformats.org/officeDocument/2006/relationships/revisionLog" Target="revisionLog13111.xml"/><Relationship Id="rId31" Type="http://schemas.openxmlformats.org/officeDocument/2006/relationships/revisionLog" Target="revisionLog22.xml"/><Relationship Id="rId52" Type="http://schemas.openxmlformats.org/officeDocument/2006/relationships/revisionLog" Target="revisionLog38.xml"/><Relationship Id="rId73" Type="http://schemas.openxmlformats.org/officeDocument/2006/relationships/revisionLog" Target="revisionLog57.xml"/><Relationship Id="rId78" Type="http://schemas.openxmlformats.org/officeDocument/2006/relationships/revisionLog" Target="revisionLog61.xml"/><Relationship Id="rId94" Type="http://schemas.openxmlformats.org/officeDocument/2006/relationships/revisionLog" Target="revisionLog76.xml"/><Relationship Id="rId99" Type="http://schemas.openxmlformats.org/officeDocument/2006/relationships/revisionLog" Target="revisionLog132.xml"/><Relationship Id="rId101" Type="http://schemas.openxmlformats.org/officeDocument/2006/relationships/revisionLog" Target="revisionLog12212.xml"/><Relationship Id="rId122" Type="http://schemas.openxmlformats.org/officeDocument/2006/relationships/revisionLog" Target="revisionLog98.xml"/><Relationship Id="rId143" Type="http://schemas.openxmlformats.org/officeDocument/2006/relationships/revisionLog" Target="revisionLog1201.xml"/><Relationship Id="rId148" Type="http://schemas.openxmlformats.org/officeDocument/2006/relationships/revisionLog" Target="revisionLog1281.xml"/><Relationship Id="rId164" Type="http://schemas.openxmlformats.org/officeDocument/2006/relationships/revisionLog" Target="revisionLog183.xml"/><Relationship Id="rId169" Type="http://schemas.openxmlformats.org/officeDocument/2006/relationships/revisionLog" Target="revisionLog150.xml"/><Relationship Id="rId185" Type="http://schemas.openxmlformats.org/officeDocument/2006/relationships/revisionLog" Target="revisionLog168.xml"/><Relationship Id="rId4" Type="http://schemas.openxmlformats.org/officeDocument/2006/relationships/revisionLog" Target="revisionLog4.xml"/><Relationship Id="rId9" Type="http://schemas.openxmlformats.org/officeDocument/2006/relationships/revisionLog" Target="revisionLog131111.xml"/><Relationship Id="rId180" Type="http://schemas.openxmlformats.org/officeDocument/2006/relationships/revisionLog" Target="revisionLog163.xml"/><Relationship Id="rId210" Type="http://schemas.openxmlformats.org/officeDocument/2006/relationships/revisionLog" Target="revisionLog189.xml"/><Relationship Id="rId215" Type="http://schemas.openxmlformats.org/officeDocument/2006/relationships/revisionLog" Target="revisionLog193.xml"/><Relationship Id="rId26" Type="http://schemas.openxmlformats.org/officeDocument/2006/relationships/revisionLog" Target="revisionLog1831.xml"/><Relationship Id="rId47" Type="http://schemas.openxmlformats.org/officeDocument/2006/relationships/revisionLog" Target="revisionLog33.xml"/><Relationship Id="rId68" Type="http://schemas.openxmlformats.org/officeDocument/2006/relationships/revisionLog" Target="revisionLog52.xml"/><Relationship Id="rId89" Type="http://schemas.openxmlformats.org/officeDocument/2006/relationships/revisionLog" Target="revisionLog71.xml"/><Relationship Id="rId112" Type="http://schemas.openxmlformats.org/officeDocument/2006/relationships/revisionLog" Target="revisionLog88.xml"/><Relationship Id="rId133" Type="http://schemas.openxmlformats.org/officeDocument/2006/relationships/revisionLog" Target="revisionLog108.xml"/><Relationship Id="rId154" Type="http://schemas.openxmlformats.org/officeDocument/2006/relationships/revisionLog" Target="revisionLog135.xml"/><Relationship Id="rId175" Type="http://schemas.openxmlformats.org/officeDocument/2006/relationships/revisionLog" Target="revisionLog157.xml"/><Relationship Id="rId196" Type="http://schemas.openxmlformats.org/officeDocument/2006/relationships/revisionLog" Target="revisionLog180.xml"/><Relationship Id="rId200" Type="http://schemas.openxmlformats.org/officeDocument/2006/relationships/revisionLog" Target="revisionLog1210.xml"/><Relationship Id="rId16" Type="http://schemas.openxmlformats.org/officeDocument/2006/relationships/revisionLog" Target="revisionLog131.xml"/><Relationship Id="rId221" Type="http://schemas.openxmlformats.org/officeDocument/2006/relationships/revisionLog" Target="revisionLog198.xml"/><Relationship Id="rId37" Type="http://schemas.openxmlformats.org/officeDocument/2006/relationships/revisionLog" Target="revisionLog27.xml"/><Relationship Id="rId58" Type="http://schemas.openxmlformats.org/officeDocument/2006/relationships/revisionLog" Target="revisionLog44.xml"/><Relationship Id="rId79" Type="http://schemas.openxmlformats.org/officeDocument/2006/relationships/revisionLog" Target="revisionLog62.xml"/><Relationship Id="rId102" Type="http://schemas.openxmlformats.org/officeDocument/2006/relationships/revisionLog" Target="revisionLog79.xml"/><Relationship Id="rId123" Type="http://schemas.openxmlformats.org/officeDocument/2006/relationships/revisionLog" Target="revisionLog99.xml"/><Relationship Id="rId144" Type="http://schemas.openxmlformats.org/officeDocument/2006/relationships/revisionLog" Target="revisionLog124.xml"/><Relationship Id="rId90" Type="http://schemas.openxmlformats.org/officeDocument/2006/relationships/revisionLog" Target="revisionLog72.xml"/><Relationship Id="rId165" Type="http://schemas.openxmlformats.org/officeDocument/2006/relationships/revisionLog" Target="revisionLog146.xml"/><Relationship Id="rId186" Type="http://schemas.openxmlformats.org/officeDocument/2006/relationships/revisionLog" Target="revisionLog169.xml"/><Relationship Id="rId211" Type="http://schemas.openxmlformats.org/officeDocument/2006/relationships/revisionLog" Target="revisionLog190.xml"/><Relationship Id="rId27" Type="http://schemas.openxmlformats.org/officeDocument/2006/relationships/revisionLog" Target="revisionLog191.xml"/><Relationship Id="rId48" Type="http://schemas.openxmlformats.org/officeDocument/2006/relationships/revisionLog" Target="revisionLog34.xml"/><Relationship Id="rId69" Type="http://schemas.openxmlformats.org/officeDocument/2006/relationships/revisionLog" Target="revisionLog53.xml"/><Relationship Id="rId113" Type="http://schemas.openxmlformats.org/officeDocument/2006/relationships/revisionLog" Target="revisionLog89.xml"/><Relationship Id="rId134" Type="http://schemas.openxmlformats.org/officeDocument/2006/relationships/revisionLog" Target="revisionLog109.xml"/><Relationship Id="rId80" Type="http://schemas.openxmlformats.org/officeDocument/2006/relationships/revisionLog" Target="revisionLog63.xml"/><Relationship Id="rId155" Type="http://schemas.openxmlformats.org/officeDocument/2006/relationships/revisionLog" Target="revisionLog136.xml"/><Relationship Id="rId176" Type="http://schemas.openxmlformats.org/officeDocument/2006/relationships/revisionLog" Target="revisionLog158.xml"/><Relationship Id="rId197" Type="http://schemas.openxmlformats.org/officeDocument/2006/relationships/revisionLog" Target="revisionLog181.xml"/><Relationship Id="rId201" Type="http://schemas.openxmlformats.org/officeDocument/2006/relationships/revisionLog" Target="revisionLog184.xml"/><Relationship Id="rId222" Type="http://schemas.openxmlformats.org/officeDocument/2006/relationships/revisionLog" Target="revisionLog199.xml"/><Relationship Id="rId17" Type="http://schemas.openxmlformats.org/officeDocument/2006/relationships/revisionLog" Target="revisionLog8.xml"/><Relationship Id="rId38" Type="http://schemas.openxmlformats.org/officeDocument/2006/relationships/revisionLog" Target="revisionLog151.xml"/><Relationship Id="rId59" Type="http://schemas.openxmlformats.org/officeDocument/2006/relationships/revisionLog" Target="revisionLog45.xml"/><Relationship Id="rId103" Type="http://schemas.openxmlformats.org/officeDocument/2006/relationships/revisionLog" Target="revisionLog80.xml"/><Relationship Id="rId124" Type="http://schemas.openxmlformats.org/officeDocument/2006/relationships/revisionLog" Target="revisionLog100.xml"/><Relationship Id="rId70" Type="http://schemas.openxmlformats.org/officeDocument/2006/relationships/revisionLog" Target="revisionLog54.xml"/><Relationship Id="rId91" Type="http://schemas.openxmlformats.org/officeDocument/2006/relationships/revisionLog" Target="revisionLog73.xml"/><Relationship Id="rId145" Type="http://schemas.openxmlformats.org/officeDocument/2006/relationships/revisionLog" Target="revisionLog125.xml"/><Relationship Id="rId166" Type="http://schemas.openxmlformats.org/officeDocument/2006/relationships/revisionLog" Target="revisionLog147.xml"/><Relationship Id="rId187" Type="http://schemas.openxmlformats.org/officeDocument/2006/relationships/revisionLog" Target="revisionLog170.xml"/><Relationship Id="rId1" Type="http://schemas.openxmlformats.org/officeDocument/2006/relationships/revisionLog" Target="revisionLog1111.xml"/><Relationship Id="rId212" Type="http://schemas.openxmlformats.org/officeDocument/2006/relationships/revisionLog" Target="revisionLog12.xml"/><Relationship Id="rId28" Type="http://schemas.openxmlformats.org/officeDocument/2006/relationships/revisionLog" Target="revisionLog192.xml"/><Relationship Id="rId49" Type="http://schemas.openxmlformats.org/officeDocument/2006/relationships/revisionLog" Target="revisionLog35.xml"/><Relationship Id="rId114" Type="http://schemas.openxmlformats.org/officeDocument/2006/relationships/revisionLog" Target="revisionLog90.xml"/><Relationship Id="rId60" Type="http://schemas.openxmlformats.org/officeDocument/2006/relationships/revisionLog" Target="revisionLog46.xml"/><Relationship Id="rId81" Type="http://schemas.openxmlformats.org/officeDocument/2006/relationships/revisionLog" Target="revisionLog64.xml"/><Relationship Id="rId135" Type="http://schemas.openxmlformats.org/officeDocument/2006/relationships/revisionLog" Target="revisionLog113.xml"/><Relationship Id="rId156" Type="http://schemas.openxmlformats.org/officeDocument/2006/relationships/revisionLog" Target="revisionLog13.xml"/><Relationship Id="rId177" Type="http://schemas.openxmlformats.org/officeDocument/2006/relationships/revisionLog" Target="revisionLog159.xml"/><Relationship Id="rId198" Type="http://schemas.openxmlformats.org/officeDocument/2006/relationships/revisionLog" Target="revisionLog182.xml"/><Relationship Id="rId202" Type="http://schemas.openxmlformats.org/officeDocument/2006/relationships/revisionLog" Target="revisionLog185.xml"/><Relationship Id="rId223" Type="http://schemas.openxmlformats.org/officeDocument/2006/relationships/revisionLog" Target="revisionLog200.xml"/><Relationship Id="rId18" Type="http://schemas.openxmlformats.org/officeDocument/2006/relationships/revisionLog" Target="revisionLog1321.xml"/><Relationship Id="rId39" Type="http://schemas.openxmlformats.org/officeDocument/2006/relationships/revisionLog" Target="revisionLog28.xml"/><Relationship Id="rId50" Type="http://schemas.openxmlformats.org/officeDocument/2006/relationships/revisionLog" Target="revisionLog36.xml"/><Relationship Id="rId104" Type="http://schemas.openxmlformats.org/officeDocument/2006/relationships/revisionLog" Target="revisionLog16.xml"/><Relationship Id="rId125" Type="http://schemas.openxmlformats.org/officeDocument/2006/relationships/revisionLog" Target="revisionLog101.xml"/><Relationship Id="rId146" Type="http://schemas.openxmlformats.org/officeDocument/2006/relationships/revisionLog" Target="revisionLog126.xml"/><Relationship Id="rId167" Type="http://schemas.openxmlformats.org/officeDocument/2006/relationships/revisionLog" Target="revisionLog148.xml"/><Relationship Id="rId188" Type="http://schemas.openxmlformats.org/officeDocument/2006/relationships/revisionLog" Target="revisionLog172.xml"/><Relationship Id="rId71" Type="http://schemas.openxmlformats.org/officeDocument/2006/relationships/revisionLog" Target="revisionLog55.xml"/><Relationship Id="rId92" Type="http://schemas.openxmlformats.org/officeDocument/2006/relationships/revisionLog" Target="revisionLog74.xml"/><Relationship Id="rId213" Type="http://schemas.openxmlformats.org/officeDocument/2006/relationships/revisionLog" Target="revisionLog17.xml"/><Relationship Id="rId2" Type="http://schemas.openxmlformats.org/officeDocument/2006/relationships/revisionLog" Target="revisionLog2.xml"/><Relationship Id="rId29" Type="http://schemas.openxmlformats.org/officeDocument/2006/relationships/revisionLog" Target="revisionLog20.xml"/><Relationship Id="rId40" Type="http://schemas.openxmlformats.org/officeDocument/2006/relationships/revisionLog" Target="revisionLog29.xml"/><Relationship Id="rId115" Type="http://schemas.openxmlformats.org/officeDocument/2006/relationships/revisionLog" Target="revisionLog91.xml"/><Relationship Id="rId136" Type="http://schemas.openxmlformats.org/officeDocument/2006/relationships/revisionLog" Target="revisionLog114.xml"/><Relationship Id="rId157" Type="http://schemas.openxmlformats.org/officeDocument/2006/relationships/revisionLog" Target="revisionLog138.xml"/><Relationship Id="rId178" Type="http://schemas.openxmlformats.org/officeDocument/2006/relationships/revisionLog" Target="revisionLog160.xml"/><Relationship Id="rId61" Type="http://schemas.openxmlformats.org/officeDocument/2006/relationships/revisionLog" Target="revisionLog47.xml"/><Relationship Id="rId82" Type="http://schemas.openxmlformats.org/officeDocument/2006/relationships/revisionLog" Target="revisionLog171.xml"/><Relationship Id="rId199" Type="http://schemas.openxmlformats.org/officeDocument/2006/relationships/revisionLog" Target="revisionLog18.xml"/><Relationship Id="rId203" Type="http://schemas.openxmlformats.org/officeDocument/2006/relationships/revisionLog" Target="revisionLog186.xml"/><Relationship Id="rId19" Type="http://schemas.openxmlformats.org/officeDocument/2006/relationships/revisionLog" Target="revisionLog141.xml"/><Relationship Id="rId224" Type="http://schemas.openxmlformats.org/officeDocument/2006/relationships/revisionLog" Target="revisionLog201.xml"/><Relationship Id="rId30" Type="http://schemas.openxmlformats.org/officeDocument/2006/relationships/revisionLog" Target="revisionLog21.xml"/><Relationship Id="rId105" Type="http://schemas.openxmlformats.org/officeDocument/2006/relationships/revisionLog" Target="revisionLog81.xml"/><Relationship Id="rId126" Type="http://schemas.openxmlformats.org/officeDocument/2006/relationships/revisionLog" Target="revisionLog102.xml"/><Relationship Id="rId147" Type="http://schemas.openxmlformats.org/officeDocument/2006/relationships/revisionLog" Target="revisionLog127.xml"/><Relationship Id="rId168" Type="http://schemas.openxmlformats.org/officeDocument/2006/relationships/revisionLog" Target="revisionLog149.xml"/><Relationship Id="rId51" Type="http://schemas.openxmlformats.org/officeDocument/2006/relationships/revisionLog" Target="revisionLog37.xml"/><Relationship Id="rId72" Type="http://schemas.openxmlformats.org/officeDocument/2006/relationships/revisionLog" Target="revisionLog56.xml"/><Relationship Id="rId93" Type="http://schemas.openxmlformats.org/officeDocument/2006/relationships/revisionLog" Target="revisionLog75.xml"/><Relationship Id="rId189" Type="http://schemas.openxmlformats.org/officeDocument/2006/relationships/revisionLog" Target="revisionLog173.xml"/><Relationship Id="rId3" Type="http://schemas.openxmlformats.org/officeDocument/2006/relationships/revisionLog" Target="revisionLog3.xml"/><Relationship Id="rId214" Type="http://schemas.openxmlformats.org/officeDocument/2006/relationships/revisionLog" Target="revisionLog11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C9C067D-7090-4BA4-84EB-A6ACBEC22087}" diskRevisions="1" revisionId="2939" version="229">
  <header guid="{94513407-ED6C-42A8-BD17-5A70395930DE}" dateTime="2018-01-16T08:43:16" maxSheetId="3" userName="Елена И. Комогорцева" r:id="rId1">
    <sheetIdMap count="2">
      <sheetId val="1"/>
      <sheetId val="2"/>
    </sheetIdMap>
  </header>
  <header guid="{45DF18C8-5830-40A9-A059-D7CCE0B98D2C}" dateTime="2018-01-16T08:44:36" maxSheetId="3" userName="Елена И. Комогорцева" r:id="rId2" minRId="1" maxRId="2">
    <sheetIdMap count="2">
      <sheetId val="1"/>
      <sheetId val="2"/>
    </sheetIdMap>
  </header>
  <header guid="{C7A1AEEF-5E93-4BE4-BBAA-FEBF4AD95566}" dateTime="2018-01-16T08:45:51" maxSheetId="3" userName="Елена И. Комогорцева" r:id="rId3" minRId="3">
    <sheetIdMap count="2">
      <sheetId val="1"/>
      <sheetId val="2"/>
    </sheetIdMap>
  </header>
  <header guid="{5693A614-0F0B-4143-BB4E-F5A942EDD351}" dateTime="2018-01-16T09:09:11" maxSheetId="3" userName="Ольга С. Цыганова" r:id="rId4" minRId="4" maxRId="5">
    <sheetIdMap count="2">
      <sheetId val="1"/>
      <sheetId val="2"/>
    </sheetIdMap>
  </header>
  <header guid="{BE9F9CB4-24C9-423B-91FC-A09EBBC8A9D0}" dateTime="2018-01-16T11:23:35" maxSheetId="3" userName="fin-4053" r:id="rId5">
    <sheetIdMap count="2">
      <sheetId val="1"/>
      <sheetId val="2"/>
    </sheetIdMap>
  </header>
  <header guid="{4DD2C97E-E180-491C-BE58-B64CAEF25FCC}" dateTime="2018-01-16T11:30:56" maxSheetId="3" userName="fin-4053" r:id="rId6" minRId="12" maxRId="57">
    <sheetIdMap count="2">
      <sheetId val="1"/>
      <sheetId val="2"/>
    </sheetIdMap>
  </header>
  <header guid="{EDD9CD4A-1FB8-4164-89B5-05D30269B6D7}" dateTime="2018-01-16T11:33:00" maxSheetId="3" userName="Константин А. Бобылев" r:id="rId7" minRId="61" maxRId="113">
    <sheetIdMap count="2">
      <sheetId val="1"/>
      <sheetId val="2"/>
    </sheetIdMap>
  </header>
  <header guid="{CB17DC19-21A6-4856-B096-70837E8C3C77}" dateTime="2018-01-16T11:37:22" maxSheetId="3" userName="fin-4053" r:id="rId8" minRId="114">
    <sheetIdMap count="2">
      <sheetId val="1"/>
      <sheetId val="2"/>
    </sheetIdMap>
  </header>
  <header guid="{673BEC13-D4FA-4D62-A8BC-AC1847B000E3}" dateTime="2018-01-16T11:40:42" maxSheetId="3" userName="fin-4053" r:id="rId9" minRId="118" maxRId="166">
    <sheetIdMap count="2">
      <sheetId val="1"/>
      <sheetId val="2"/>
    </sheetIdMap>
  </header>
  <header guid="{FC61B10D-24BC-463B-9C03-7863A5A19EEE}" dateTime="2018-01-16T11:41:01" maxSheetId="3" userName="fin-4053" r:id="rId10" minRId="170">
    <sheetIdMap count="2">
      <sheetId val="1"/>
      <sheetId val="2"/>
    </sheetIdMap>
  </header>
  <header guid="{B377F16E-006A-40E2-B46E-0FB684FFBD94}" dateTime="2018-01-16T11:44:03" maxSheetId="3" userName="fin-4053" r:id="rId11" minRId="174" maxRId="209">
    <sheetIdMap count="2">
      <sheetId val="1"/>
      <sheetId val="2"/>
    </sheetIdMap>
  </header>
  <header guid="{82C58702-C278-4803-8183-E2FCF5846F02}" dateTime="2018-01-16T11:49:00" maxSheetId="3" userName="fin-4053" r:id="rId12" minRId="213" maxRId="225">
    <sheetIdMap count="2">
      <sheetId val="1"/>
      <sheetId val="2"/>
    </sheetIdMap>
  </header>
  <header guid="{0B2E4EFF-ECB5-4557-BDC6-A3BDC6680E33}" dateTime="2018-01-16T11:50:07" maxSheetId="3" userName="fin-4053" r:id="rId13" minRId="229" maxRId="232">
    <sheetIdMap count="2">
      <sheetId val="1"/>
      <sheetId val="2"/>
    </sheetIdMap>
  </header>
  <header guid="{4857A7AD-F499-4723-8A3B-BDC9B7B8639A}" dateTime="2018-01-16T11:52:46" maxSheetId="3" userName="Елена И. Комогорцева" r:id="rId14">
    <sheetIdMap count="2">
      <sheetId val="1"/>
      <sheetId val="2"/>
    </sheetIdMap>
  </header>
  <header guid="{18B88F80-35FA-42F7-A4F5-BF92D80D5BAE}" dateTime="2018-01-16T12:11:09" maxSheetId="3" userName="Константин А. Бобылев" r:id="rId15" minRId="239" maxRId="282">
    <sheetIdMap count="2">
      <sheetId val="1"/>
      <sheetId val="2"/>
    </sheetIdMap>
  </header>
  <header guid="{828BA12A-3324-478E-ABDE-D6AC5C31BD0F}" dateTime="2018-01-16T12:21:14" maxSheetId="3" userName="fin-4053" r:id="rId16" minRId="283" maxRId="290">
    <sheetIdMap count="2">
      <sheetId val="1"/>
      <sheetId val="2"/>
    </sheetIdMap>
  </header>
  <header guid="{4668FD9F-ED7F-431E-A663-D9FCE16B9B81}" dateTime="2018-01-16T12:21:23" maxSheetId="3" userName="Константин А. Бобылев" r:id="rId17" minRId="294" maxRId="300">
    <sheetIdMap count="2">
      <sheetId val="1"/>
      <sheetId val="2"/>
    </sheetIdMap>
  </header>
  <header guid="{C2BA81D3-DE94-428B-9CBA-C0EADB8D7CD6}" dateTime="2018-01-16T12:53:50" maxSheetId="3" userName="fin-4053" r:id="rId18" minRId="304" maxRId="305">
    <sheetIdMap count="2">
      <sheetId val="1"/>
      <sheetId val="2"/>
    </sheetIdMap>
  </header>
  <header guid="{D7B8CE5B-7BAE-446B-9624-3B07B5ED2744}" dateTime="2018-01-16T12:53:55" maxSheetId="3" userName="fin-4053" r:id="rId19">
    <sheetIdMap count="2">
      <sheetId val="1"/>
      <sheetId val="2"/>
    </sheetIdMap>
  </header>
  <header guid="{BF1AF48F-0BAF-4C71-AD18-3A14390C13DE}" dateTime="2018-01-16T14:14:49" maxSheetId="3" userName="Константин А. Бобылев" r:id="rId20" minRId="312" maxRId="316">
    <sheetIdMap count="2">
      <sheetId val="1"/>
      <sheetId val="2"/>
    </sheetIdMap>
  </header>
  <header guid="{47D6068E-82B0-477B-9143-5D1BBA46E46D}" dateTime="2018-01-16T15:41:19" maxSheetId="3" userName="fin-4053" r:id="rId21" minRId="317" maxRId="318">
    <sheetIdMap count="2">
      <sheetId val="1"/>
      <sheetId val="2"/>
    </sheetIdMap>
  </header>
  <header guid="{AAF33C16-C287-49A3-AE4D-0E12BC695B3C}" dateTime="2018-01-16T16:03:00" maxSheetId="3" userName="Ольга С. Цыганова" r:id="rId22" minRId="322" maxRId="352">
    <sheetIdMap count="2">
      <sheetId val="1"/>
      <sheetId val="2"/>
    </sheetIdMap>
  </header>
  <header guid="{6AB45313-A6EF-4B1D-89D1-F3E0A980C0B1}" dateTime="2018-01-16T16:03:27" maxSheetId="3" userName="Ольга С. Цыганова" r:id="rId23" minRId="353">
    <sheetIdMap count="2">
      <sheetId val="1"/>
      <sheetId val="2"/>
    </sheetIdMap>
  </header>
  <header guid="{580D8858-AA8A-47F7-8639-E4E46FD54167}" dateTime="2018-01-16T16:05:06" maxSheetId="3" userName="Ольга С. Цыганова" r:id="rId24" minRId="354">
    <sheetIdMap count="2">
      <sheetId val="1"/>
      <sheetId val="2"/>
    </sheetIdMap>
  </header>
  <header guid="{8368920E-A900-481E-B18B-BBE9EB185C33}" dateTime="2018-01-16T16:53:14" maxSheetId="3" userName="Виктория В. Москаленко" r:id="rId25" minRId="355" maxRId="375">
    <sheetIdMap count="2">
      <sheetId val="1"/>
      <sheetId val="2"/>
    </sheetIdMap>
  </header>
  <header guid="{7A1F2DB7-7C7C-42D6-8A0F-B0BCA5F269C0}" dateTime="2018-01-16T17:14:58" maxSheetId="3" userName="Виктория В. Москаленко" r:id="rId26" minRId="376" maxRId="380">
    <sheetIdMap count="2">
      <sheetId val="1"/>
      <sheetId val="2"/>
    </sheetIdMap>
  </header>
  <header guid="{810AFC0A-65DF-4379-9616-F664AFCDDC55}" dateTime="2018-01-16T17:16:43" maxSheetId="3" userName="fin-4053" r:id="rId27" minRId="381" maxRId="423">
    <sheetIdMap count="2">
      <sheetId val="1"/>
      <sheetId val="2"/>
    </sheetIdMap>
  </header>
  <header guid="{08AC33B1-F313-4132-9584-BFCAB9A3991E}" dateTime="2018-01-16T17:17:06" maxSheetId="3" userName="fin-4053" r:id="rId28" minRId="427">
    <sheetIdMap count="2">
      <sheetId val="1"/>
      <sheetId val="2"/>
    </sheetIdMap>
  </header>
  <header guid="{11BD474B-2824-40CC-A575-B9E0378E5E36}" dateTime="2018-01-16T17:40:22" maxSheetId="3" userName="Людмила В. Латышева" r:id="rId29" minRId="431" maxRId="438">
    <sheetIdMap count="2">
      <sheetId val="1"/>
      <sheetId val="2"/>
    </sheetIdMap>
  </header>
  <header guid="{77F5DFA1-5D56-4FB9-8406-6B930DF464E2}" dateTime="2018-01-16T17:45:37" maxSheetId="3" userName="Людмила Л. Панова" r:id="rId30">
    <sheetIdMap count="2">
      <sheetId val="1"/>
      <sheetId val="2"/>
    </sheetIdMap>
  </header>
  <header guid="{8E1FCDED-106F-48FF-9C74-15BD74996FA2}" dateTime="2018-01-16T17:47:05" maxSheetId="3" userName="Виктория В. Москаленко" r:id="rId31" minRId="442" maxRId="443">
    <sheetIdMap count="2">
      <sheetId val="1"/>
      <sheetId val="2"/>
    </sheetIdMap>
  </header>
  <header guid="{8761B11A-B5A2-42BE-85A6-26C250B04881}" dateTime="2018-01-16T17:47:19" maxSheetId="3" userName="fin-4053" r:id="rId32" minRId="444" maxRId="445">
    <sheetIdMap count="2">
      <sheetId val="1"/>
      <sheetId val="2"/>
    </sheetIdMap>
  </header>
  <header guid="{84D6516B-3A16-4C8F-90E9-8DB620DE352D}" dateTime="2018-01-16T17:49:42" maxSheetId="3" userName="Людмила В. Латышева" r:id="rId33" minRId="449" maxRId="452">
    <sheetIdMap count="2">
      <sheetId val="1"/>
      <sheetId val="2"/>
    </sheetIdMap>
  </header>
  <header guid="{FCCFC8EB-8528-4E31-BEE8-E6E39F21B0CF}" dateTime="2018-01-16T17:53:51" maxSheetId="3" userName="Людмила В. Латышева" r:id="rId34">
    <sheetIdMap count="2">
      <sheetId val="1"/>
      <sheetId val="2"/>
    </sheetIdMap>
  </header>
  <header guid="{4DF63705-EC1C-4AF6-BB02-227F6CF0E6FA}" dateTime="2018-01-16T17:54:08" maxSheetId="3" userName="Людмила В. Латышева" r:id="rId35">
    <sheetIdMap count="2">
      <sheetId val="1"/>
      <sheetId val="2"/>
    </sheetIdMap>
  </header>
  <header guid="{F10E1657-5041-410D-A2E9-0B8B08BDB62F}" dateTime="2018-01-16T17:54:27" maxSheetId="3" userName="Людмила В. Латышева" r:id="rId36">
    <sheetIdMap count="2">
      <sheetId val="1"/>
      <sheetId val="2"/>
    </sheetIdMap>
  </header>
  <header guid="{A3AE0242-BE53-41B0-A502-08AF2ECD05FA}" dateTime="2018-01-16T17:54:51" maxSheetId="3" userName="Людмила В. Латышева" r:id="rId37">
    <sheetIdMap count="2">
      <sheetId val="1"/>
      <sheetId val="2"/>
    </sheetIdMap>
  </header>
  <header guid="{46EAA878-6F16-477E-8C0E-136DC705A843}" dateTime="2018-01-16T18:02:07" maxSheetId="3" userName="fin-4053" r:id="rId38" minRId="453" maxRId="460">
    <sheetIdMap count="2">
      <sheetId val="1"/>
      <sheetId val="2"/>
    </sheetIdMap>
  </header>
  <header guid="{6C89E616-805F-4D7B-97FF-9F0D3C3AF6D6}" dateTime="2018-01-16T19:37:28" maxSheetId="3" userName="Людмила Л. Панова" r:id="rId39" minRId="464" maxRId="467">
    <sheetIdMap count="2">
      <sheetId val="1"/>
      <sheetId val="2"/>
    </sheetIdMap>
  </header>
  <header guid="{C6D21201-0121-4F3D-8883-5ADA974A5B25}" dateTime="2018-01-16T20:04:28" maxSheetId="3" userName="Людмила Л. Панова" r:id="rId40" minRId="468" maxRId="475">
    <sheetIdMap count="2">
      <sheetId val="1"/>
      <sheetId val="2"/>
    </sheetIdMap>
  </header>
  <header guid="{D19EE924-50E5-4C76-B707-2DD5D3999883}" dateTime="2018-01-16T20:04:45" maxSheetId="3" userName="Людмила Л. Панова" r:id="rId41" minRId="479">
    <sheetIdMap count="2">
      <sheetId val="1"/>
      <sheetId val="2"/>
    </sheetIdMap>
  </header>
  <header guid="{3C87BFA4-D7DD-4367-A6D8-B20C624F0993}" dateTime="2018-01-17T09:50:29" maxSheetId="3" userName="fin-4053" r:id="rId42" minRId="480" maxRId="519">
    <sheetIdMap count="2">
      <sheetId val="1"/>
      <sheetId val="2"/>
    </sheetIdMap>
  </header>
  <header guid="{5DD7C432-EA94-4FD2-8D7C-5AA21F8ADAE5}" dateTime="2018-01-17T10:19:58" maxSheetId="3" userName="fin-4053" r:id="rId43" minRId="523" maxRId="565">
    <sheetIdMap count="2">
      <sheetId val="1"/>
      <sheetId val="2"/>
    </sheetIdMap>
  </header>
  <header guid="{66FA03FA-2011-477A-B9E6-05D79BCB076A}" dateTime="2018-01-17T10:20:33" maxSheetId="3" userName="fin-4053" r:id="rId44" minRId="569">
    <sheetIdMap count="2">
      <sheetId val="1"/>
      <sheetId val="2"/>
    </sheetIdMap>
  </header>
  <header guid="{EA5F1777-43CC-45C6-BFF0-105E1BE3D893}" dateTime="2018-01-17T10:29:08" maxSheetId="3" userName="Вишницкая Ольга Анатольевна" r:id="rId45" minRId="573" maxRId="576">
    <sheetIdMap count="2">
      <sheetId val="1"/>
      <sheetId val="2"/>
    </sheetIdMap>
  </header>
  <header guid="{111216D5-5BD0-4F2E-B63D-67FABA3FC356}" dateTime="2018-01-17T10:29:54" maxSheetId="3" userName="Юлия Александровна Федчук" r:id="rId46" minRId="580" maxRId="608">
    <sheetIdMap count="2">
      <sheetId val="1"/>
      <sheetId val="2"/>
    </sheetIdMap>
  </header>
  <header guid="{AC8F25BF-B3A9-400A-8012-0F16B01D7563}" dateTime="2018-01-17T10:34:21" maxSheetId="3" userName="Ольга В. Гонтова" r:id="rId47" minRId="609" maxRId="618">
    <sheetIdMap count="2">
      <sheetId val="1"/>
      <sheetId val="2"/>
    </sheetIdMap>
  </header>
  <header guid="{3F7E7F67-EA6E-4B11-8448-FB32EF783C1F}" dateTime="2018-01-17T10:38:08" maxSheetId="3" userName="Вишницкая Ольга Анатольевна" r:id="rId48" minRId="622" maxRId="636">
    <sheetIdMap count="2">
      <sheetId val="1"/>
      <sheetId val="2"/>
    </sheetIdMap>
  </header>
  <header guid="{F736A599-AEEB-46D1-90BD-45BD3EDBBB70}" dateTime="2018-01-17T10:40:45" maxSheetId="3" userName="Ольга В. Гонтова" r:id="rId49" minRId="640">
    <sheetIdMap count="2">
      <sheetId val="1"/>
      <sheetId val="2"/>
    </sheetIdMap>
  </header>
  <header guid="{4D7466C9-8281-4436-A20A-523E0E10C032}" dateTime="2018-01-17T10:43:55" maxSheetId="3" userName="Вишницкая Ольга Анатольевна" r:id="rId50" minRId="641" maxRId="642">
    <sheetIdMap count="2">
      <sheetId val="1"/>
      <sheetId val="2"/>
    </sheetIdMap>
  </header>
  <header guid="{1A619F61-F66F-4C21-A8E0-68C5BBE3F4CB}" dateTime="2018-01-17T10:47:49" maxSheetId="3" userName="Вишницкая Ольга Анатольевна" r:id="rId51" minRId="643" maxRId="656">
    <sheetIdMap count="2">
      <sheetId val="1"/>
      <sheetId val="2"/>
    </sheetIdMap>
  </header>
  <header guid="{E3A5167D-89A4-4FEA-99BE-1D7EA65C4585}" dateTime="2018-01-17T10:48:52" maxSheetId="3" userName="Вишницкая Ольга Анатольевна" r:id="rId52" minRId="660">
    <sheetIdMap count="2">
      <sheetId val="1"/>
      <sheetId val="2"/>
    </sheetIdMap>
  </header>
  <header guid="{DCDBFD05-72DB-405B-82CF-292F46C65BE1}" dateTime="2018-01-17T10:50:22" maxSheetId="3" userName="Ольга С. Цыганова" r:id="rId53" minRId="664" maxRId="705">
    <sheetIdMap count="2">
      <sheetId val="1"/>
      <sheetId val="2"/>
    </sheetIdMap>
  </header>
  <header guid="{2B7612E6-BF4B-44CB-BE1E-79CEE22AE178}" dateTime="2018-01-17T10:51:41" maxSheetId="3" userName="Ольга С. Цыганова" r:id="rId54" minRId="709">
    <sheetIdMap count="2">
      <sheetId val="1"/>
      <sheetId val="2"/>
    </sheetIdMap>
  </header>
  <header guid="{D601FE6C-BDAB-4323-B914-810AD3710CBD}" dateTime="2018-01-17T10:54:07" maxSheetId="3" userName="Ольга В. Гонтова" r:id="rId55" minRId="710" maxRId="719">
    <sheetIdMap count="2">
      <sheetId val="1"/>
      <sheetId val="2"/>
    </sheetIdMap>
  </header>
  <header guid="{5D97405E-43CB-43A9-8BA8-D3C3DE5B4BCC}" dateTime="2018-01-17T10:54:40" maxSheetId="3" userName="Вишницкая Ольга Анатольевна" r:id="rId56" minRId="720" maxRId="723">
    <sheetIdMap count="2">
      <sheetId val="1"/>
      <sheetId val="2"/>
    </sheetIdMap>
  </header>
  <header guid="{C8F1C5B1-C414-49AD-B12B-725B08AD9EF5}" dateTime="2018-01-17T10:56:09" maxSheetId="3" userName="Ольга С. Цыганова" r:id="rId57" minRId="727" maxRId="842">
    <sheetIdMap count="2">
      <sheetId val="1"/>
      <sheetId val="2"/>
    </sheetIdMap>
  </header>
  <header guid="{8C665084-6EA4-4D17-99D8-39B8ED77C916}" dateTime="2018-01-17T10:57:32" maxSheetId="3" userName="Ольга С. Цыганова" r:id="rId58" minRId="843">
    <sheetIdMap count="2">
      <sheetId val="1"/>
      <sheetId val="2"/>
    </sheetIdMap>
  </header>
  <header guid="{C44F06D0-04FE-4AB0-AB45-6669BA324199}" dateTime="2018-01-17T10:59:52" maxSheetId="3" userName="Вишницкая Ольга Анатольевна" r:id="rId59" minRId="844" maxRId="857">
    <sheetIdMap count="2">
      <sheetId val="1"/>
      <sheetId val="2"/>
    </sheetIdMap>
  </header>
  <header guid="{F518DA23-4AF0-44F0-A31F-A84B7150B2A7}" dateTime="2018-01-17T11:00:24" maxSheetId="3" userName="Вишницкая Ольга Анатольевна" r:id="rId60" minRId="858">
    <sheetIdMap count="2">
      <sheetId val="1"/>
      <sheetId val="2"/>
    </sheetIdMap>
  </header>
  <header guid="{528F15DB-AD7A-4DDC-A416-8F2537F06A32}" dateTime="2018-01-17T11:01:06" maxSheetId="3" userName="Ольга С. Цыганова" r:id="rId61" minRId="859" maxRId="868">
    <sheetIdMap count="2">
      <sheetId val="1"/>
      <sheetId val="2"/>
    </sheetIdMap>
  </header>
  <header guid="{820B7CC7-D765-43D5-B9C8-5D02C070609D}" dateTime="2018-01-17T11:03:00" maxSheetId="3" userName="fin-4053" r:id="rId62" minRId="869" maxRId="870">
    <sheetIdMap count="2">
      <sheetId val="1"/>
      <sheetId val="2"/>
    </sheetIdMap>
  </header>
  <header guid="{3F82CD5B-E112-4790-8A66-C0D965FA3D88}" dateTime="2018-01-17T11:09:54" maxSheetId="3" userName="fin-4053" r:id="rId63" minRId="874" maxRId="903">
    <sheetIdMap count="2">
      <sheetId val="1"/>
      <sheetId val="2"/>
    </sheetIdMap>
  </header>
  <header guid="{4D64D02B-09AA-4EB4-9B3E-2F3EAE099E2B}" dateTime="2018-01-17T11:12:44" maxSheetId="3" userName="Ольга В. Гонтова" r:id="rId64" minRId="907" maxRId="928">
    <sheetIdMap count="2">
      <sheetId val="1"/>
      <sheetId val="2"/>
    </sheetIdMap>
  </header>
  <header guid="{8A5C1AE3-21F5-4009-B8B8-C66003A76947}" dateTime="2018-01-17T11:16:34" maxSheetId="3" userName="Вишницкая Ольга Анатольевна" r:id="rId65" minRId="929" maxRId="930">
    <sheetIdMap count="2">
      <sheetId val="1"/>
      <sheetId val="2"/>
    </sheetIdMap>
  </header>
  <header guid="{A60AAE8A-08CC-4C76-B286-2155CF1FF861}" dateTime="2018-01-17T11:19:09" maxSheetId="3" userName="Вишницкая Ольга Анатольевна" r:id="rId66" minRId="934" maxRId="937">
    <sheetIdMap count="2">
      <sheetId val="1"/>
      <sheetId val="2"/>
    </sheetIdMap>
  </header>
  <header guid="{58805D1F-A865-4ADA-85AE-5F1381AAA51F}" dateTime="2018-01-17T11:21:16" maxSheetId="3" userName="Юлия Александровна Федчук" r:id="rId67" minRId="938" maxRId="965">
    <sheetIdMap count="2">
      <sheetId val="1"/>
      <sheetId val="2"/>
    </sheetIdMap>
  </header>
  <header guid="{E5D9A2DD-562F-49FE-A7BD-438DB5ACF370}" dateTime="2018-01-17T11:27:42" maxSheetId="3" userName="Юлия Александровна Федчук" r:id="rId68" minRId="966" maxRId="992">
    <sheetIdMap count="2">
      <sheetId val="1"/>
      <sheetId val="2"/>
    </sheetIdMap>
  </header>
  <header guid="{D66624D2-8DA2-464E-A2DF-604F5AB2EB9F}" dateTime="2018-01-17T11:32:14" maxSheetId="3" userName="Ольга В. Гонтова" r:id="rId69" minRId="993" maxRId="1004">
    <sheetIdMap count="2">
      <sheetId val="1"/>
      <sheetId val="2"/>
    </sheetIdMap>
  </header>
  <header guid="{BC2DB5A0-23BA-4E81-9043-722232826ABD}" dateTime="2018-01-17T11:36:21" maxSheetId="3" userName="Юлия Александровна Федчук" r:id="rId70" minRId="1008">
    <sheetIdMap count="2">
      <sheetId val="1"/>
      <sheetId val="2"/>
    </sheetIdMap>
  </header>
  <header guid="{99F8516E-F508-4E83-A9B3-3028E62F5D08}" dateTime="2018-01-17T11:37:50" maxSheetId="3" userName="Людмила Л. Панова" r:id="rId71" minRId="1009">
    <sheetIdMap count="2">
      <sheetId val="1"/>
      <sheetId val="2"/>
    </sheetIdMap>
  </header>
  <header guid="{749A86DA-D361-4CF1-ABB3-DD327147C437}" dateTime="2018-01-17T11:41:24" maxSheetId="3" userName="Юлия Александровна Федчук" r:id="rId72" minRId="1010" maxRId="1011">
    <sheetIdMap count="2">
      <sheetId val="1"/>
      <sheetId val="2"/>
    </sheetIdMap>
  </header>
  <header guid="{48400BBA-E139-4B3E-9803-14957529E2AF}" dateTime="2018-01-17T11:42:41" maxSheetId="3" userName="Ольга С. Цыганова" r:id="rId73">
    <sheetIdMap count="2">
      <sheetId val="1"/>
      <sheetId val="2"/>
    </sheetIdMap>
  </header>
  <header guid="{AD49477D-6A03-4BA6-9776-D1CCDBA7A4D0}" dateTime="2018-01-17T11:49:50" maxSheetId="3" userName="Юлия Александровна Федчук" r:id="rId74" minRId="1015" maxRId="1018">
    <sheetIdMap count="2">
      <sheetId val="1"/>
      <sheetId val="2"/>
    </sheetIdMap>
  </header>
  <header guid="{BD950C1A-01A0-4561-A488-A021217A181F}" dateTime="2018-01-17T11:53:40" maxSheetId="3" userName="Ольга С. Цыганова" r:id="rId75">
    <sheetIdMap count="2">
      <sheetId val="1"/>
      <sheetId val="2"/>
    </sheetIdMap>
  </header>
  <header guid="{1B2B1FDA-3D4D-4E58-A028-18ACBB36EA00}" dateTime="2018-01-17T11:57:07" maxSheetId="3" userName="Юлия Александровна Федчук" r:id="rId76" minRId="1022" maxRId="1038">
    <sheetIdMap count="2">
      <sheetId val="1"/>
      <sheetId val="2"/>
    </sheetIdMap>
  </header>
  <header guid="{BE0F0770-ECB3-4DF4-8474-98CCE6A252BB}" dateTime="2018-01-17T12:05:58" maxSheetId="3" userName="fin-4053" r:id="rId77" minRId="1039" maxRId="1077">
    <sheetIdMap count="2">
      <sheetId val="1"/>
      <sheetId val="2"/>
    </sheetIdMap>
  </header>
  <header guid="{DCDA4EF1-E8BC-4513-A070-E8113C875B4E}" dateTime="2018-01-17T12:06:11" maxSheetId="3" userName="Юлия Александровна Федчук" r:id="rId78" minRId="1081" maxRId="1085">
    <sheetIdMap count="2">
      <sheetId val="1"/>
      <sheetId val="2"/>
    </sheetIdMap>
  </header>
  <header guid="{C45A37C2-9DE9-407C-83A7-FC272A84990F}" dateTime="2018-01-17T12:07:29" maxSheetId="3" userName="Мария Л. Хегай" r:id="rId79" minRId="1086" maxRId="1108">
    <sheetIdMap count="2">
      <sheetId val="1"/>
      <sheetId val="2"/>
    </sheetIdMap>
  </header>
  <header guid="{8E0B27EF-1E70-49F0-873C-ED60C17F4B4F}" dateTime="2018-01-17T12:07:38" maxSheetId="3" userName="Оксана Д. Скрябина" r:id="rId80">
    <sheetIdMap count="2">
      <sheetId val="1"/>
      <sheetId val="2"/>
    </sheetIdMap>
  </header>
  <header guid="{80CBEEB2-E1F8-47A2-8D38-8A6F063824C0}" dateTime="2018-01-17T12:07:44" maxSheetId="3" userName="Юлия Александровна Федчук" r:id="rId81" minRId="1112" maxRId="1113">
    <sheetIdMap count="2">
      <sheetId val="1"/>
      <sheetId val="2"/>
    </sheetIdMap>
  </header>
  <header guid="{EB593F76-A701-47CD-ACF8-1D8E04E82C1E}" dateTime="2018-01-17T12:09:17" maxSheetId="3" userName="fin-4053" r:id="rId82">
    <sheetIdMap count="2">
      <sheetId val="1"/>
      <sheetId val="2"/>
    </sheetIdMap>
  </header>
  <header guid="{53CF5AEF-3E15-451A-9CD5-B89B857BE072}" dateTime="2018-01-17T12:17:51" maxSheetId="3" userName="Оксана Д. Скрябина" r:id="rId83" minRId="1117" maxRId="1123">
    <sheetIdMap count="2">
      <sheetId val="1"/>
      <sheetId val="2"/>
    </sheetIdMap>
  </header>
  <header guid="{ABCAAC1E-9455-41A4-BA01-38AF8BFF7911}" dateTime="2018-01-17T12:22:09" maxSheetId="3" userName="Юлия Александровна Федчук" r:id="rId84" minRId="1124" maxRId="1149">
    <sheetIdMap count="2">
      <sheetId val="1"/>
      <sheetId val="2"/>
    </sheetIdMap>
  </header>
  <header guid="{68557537-F692-4541-856B-A4A0D862C683}" dateTime="2018-01-17T12:22:34" maxSheetId="3" userName="Оксана Д. Скрябина" r:id="rId85" minRId="1150" maxRId="1151">
    <sheetIdMap count="2">
      <sheetId val="1"/>
      <sheetId val="2"/>
    </sheetIdMap>
  </header>
  <header guid="{C5EFC87D-4077-427B-8475-8A7907B5328B}" dateTime="2018-01-17T12:23:23" maxSheetId="3" userName="Оксана Д. Скрябина" r:id="rId86" minRId="1152" maxRId="1153">
    <sheetIdMap count="2">
      <sheetId val="1"/>
      <sheetId val="2"/>
    </sheetIdMap>
  </header>
  <header guid="{C929FFA9-354B-4627-B214-EBDB2C72DEB8}" dateTime="2018-01-17T12:23:52" maxSheetId="3" userName="Оксана Д. Скрябина" r:id="rId87" minRId="1154" maxRId="1155">
    <sheetIdMap count="2">
      <sheetId val="1"/>
      <sheetId val="2"/>
    </sheetIdMap>
  </header>
  <header guid="{8CF5A6F1-2FB3-42D2-BAEF-943691EB5222}" dateTime="2018-01-17T12:26:45" maxSheetId="3" userName="Оксана Д. Скрябина" r:id="rId88" minRId="1156" maxRId="1157">
    <sheetIdMap count="2">
      <sheetId val="1"/>
      <sheetId val="2"/>
    </sheetIdMap>
  </header>
  <header guid="{97F97C29-85FF-403F-A914-6E818BD0CD61}" dateTime="2018-01-17T12:28:05" maxSheetId="3" userName="Оксана Д. Скрябина" r:id="rId89" minRId="1158" maxRId="1161">
    <sheetIdMap count="2">
      <sheetId val="1"/>
      <sheetId val="2"/>
    </sheetIdMap>
  </header>
  <header guid="{79499F0E-1AC7-470F-B1AB-E1D24039687E}" dateTime="2018-01-17T12:31:51" maxSheetId="3" userName="Оксана Д. Скрябина" r:id="rId90" minRId="1162" maxRId="1163">
    <sheetIdMap count="2">
      <sheetId val="1"/>
      <sheetId val="2"/>
    </sheetIdMap>
  </header>
  <header guid="{9A31A0FC-9AFA-42EE-9147-B14CC32CE1FB}" dateTime="2018-01-17T12:32:21" maxSheetId="3" userName="Оксана Д. Скрябина" r:id="rId91" minRId="1164" maxRId="1165">
    <sheetIdMap count="2">
      <sheetId val="1"/>
      <sheetId val="2"/>
    </sheetIdMap>
  </header>
  <header guid="{26B090A4-DF1C-4FE4-8322-F8C72EA0B5BF}" dateTime="2018-01-17T12:33:21" maxSheetId="3" userName="Оксана Д. Скрябина" r:id="rId92" minRId="1166" maxRId="1167">
    <sheetIdMap count="2">
      <sheetId val="1"/>
      <sheetId val="2"/>
    </sheetIdMap>
  </header>
  <header guid="{5E48C4B5-9F85-4989-B4FA-BC8D59B0A780}" dateTime="2018-01-17T12:34:05" maxSheetId="3" userName="Юлия Александровна Федчук" r:id="rId93" minRId="1168" maxRId="1172">
    <sheetIdMap count="2">
      <sheetId val="1"/>
      <sheetId val="2"/>
    </sheetIdMap>
  </header>
  <header guid="{22271819-B933-4832-997C-E36A09ED32C3}" dateTime="2018-01-17T12:35:35" maxSheetId="3" userName="Оксана Д. Скрябина" r:id="rId94" minRId="1173" maxRId="1174">
    <sheetIdMap count="2">
      <sheetId val="1"/>
      <sheetId val="2"/>
    </sheetIdMap>
  </header>
  <header guid="{D92279FA-85E5-45D3-B1B4-78BA7DD90BB0}" dateTime="2018-01-17T12:38:17" maxSheetId="3" userName="Оксана Д. Скрябина" r:id="rId95" minRId="1175" maxRId="1176">
    <sheetIdMap count="2">
      <sheetId val="1"/>
      <sheetId val="2"/>
    </sheetIdMap>
  </header>
  <header guid="{94806518-CB39-4CEF-AB9B-07BB60C4D278}" dateTime="2018-01-17T12:38:26" maxSheetId="3" userName="fin-4053" r:id="rId96" minRId="1177" maxRId="1181">
    <sheetIdMap count="2">
      <sheetId val="1"/>
      <sheetId val="2"/>
    </sheetIdMap>
  </header>
  <header guid="{368CD6B5-269E-403C-B5AA-A5A38273193F}" dateTime="2018-01-17T12:39:39" maxSheetId="3" userName="fin-4053" r:id="rId97" minRId="1185">
    <sheetIdMap count="2">
      <sheetId val="1"/>
      <sheetId val="2"/>
    </sheetIdMap>
  </header>
  <header guid="{4049AC2F-4B79-44FD-89B3-59679B6AD869}" dateTime="2018-01-17T12:58:11" maxSheetId="3" userName="Юлия Александровна Федчук" r:id="rId98" minRId="1189" maxRId="1195">
    <sheetIdMap count="2">
      <sheetId val="1"/>
      <sheetId val="2"/>
    </sheetIdMap>
  </header>
  <header guid="{0C461730-C12C-4D6B-AFF3-BB9726AB8AEA}" dateTime="2018-01-17T13:06:19" maxSheetId="3" userName="fin-4053" r:id="rId99" minRId="1196" maxRId="1229">
    <sheetIdMap count="2">
      <sheetId val="1"/>
      <sheetId val="2"/>
    </sheetIdMap>
  </header>
  <header guid="{4B28AB18-F2C2-4BDA-9631-FA5BA5E122D8}" dateTime="2018-01-17T13:08:06" maxSheetId="3" userName="fin-4053" r:id="rId100" minRId="1233" maxRId="1268">
    <sheetIdMap count="2">
      <sheetId val="1"/>
      <sheetId val="2"/>
    </sheetIdMap>
  </header>
  <header guid="{95BF6946-6CC8-46DF-B634-79C20233EF3B}" dateTime="2018-01-17T13:08:52" maxSheetId="3" userName="fin-4053" r:id="rId101" minRId="1272">
    <sheetIdMap count="2">
      <sheetId val="1"/>
      <sheetId val="2"/>
    </sheetIdMap>
  </header>
  <header guid="{7265414D-DAA0-4A6B-B9CC-6D2C8BB5236A}" dateTime="2018-01-17T13:35:36" maxSheetId="3" userName="Ольга С. Цыганова" r:id="rId102">
    <sheetIdMap count="2">
      <sheetId val="1"/>
      <sheetId val="2"/>
    </sheetIdMap>
  </header>
  <header guid="{835DF61A-A38C-4A36-BCF5-C356A0A0DD92}" dateTime="2018-01-17T14:34:28" maxSheetId="3" userName="Людмила Л. Панова" r:id="rId103">
    <sheetIdMap count="2">
      <sheetId val="1"/>
      <sheetId val="2"/>
    </sheetIdMap>
  </header>
  <header guid="{7C7EDF95-A13C-4BE0-A7E8-2ADA3DC822D6}" dateTime="2018-01-17T14:40:08" maxSheetId="3" userName="fin-4053" r:id="rId104">
    <sheetIdMap count="2">
      <sheetId val="1"/>
      <sheetId val="2"/>
    </sheetIdMap>
  </header>
  <header guid="{2B7065FA-1021-477B-A132-EF0BA94C5203}" dateTime="2018-01-17T14:40:12" maxSheetId="3" userName="Людмила Л. Панова" r:id="rId105" minRId="1285" maxRId="1299">
    <sheetIdMap count="2">
      <sheetId val="1"/>
      <sheetId val="2"/>
    </sheetIdMap>
  </header>
  <header guid="{87234E62-DA8E-47EB-B791-4E33A87E5159}" dateTime="2018-01-17T14:41:00" maxSheetId="3" userName="Людмила Л. Панова" r:id="rId106">
    <sheetIdMap count="2">
      <sheetId val="1"/>
      <sheetId val="2"/>
    </sheetIdMap>
  </header>
  <header guid="{1F885203-AE17-4C90-9D01-C741E8E676E1}" dateTime="2018-01-17T14:41:56" maxSheetId="3" userName="Людмила Л. Панова" r:id="rId107" minRId="1303">
    <sheetIdMap count="2">
      <sheetId val="1"/>
      <sheetId val="2"/>
    </sheetIdMap>
  </header>
  <header guid="{135F9AD0-3C3A-4CD6-A1BD-6AC8CE772D8B}" dateTime="2018-01-17T14:42:54" maxSheetId="3" userName="Людмила Л. Панова" r:id="rId108">
    <sheetIdMap count="2">
      <sheetId val="1"/>
      <sheetId val="2"/>
    </sheetIdMap>
  </header>
  <header guid="{58C99349-BDD7-4D9C-AC40-81A3F0BF56BC}" dateTime="2018-01-17T14:46:15" maxSheetId="3" userName="Людмила Л. Панова" r:id="rId109" minRId="1304" maxRId="1305">
    <sheetIdMap count="2">
      <sheetId val="1"/>
      <sheetId val="2"/>
    </sheetIdMap>
  </header>
  <header guid="{FCFBCDE4-16F5-458D-BACE-270DA7E08AF6}" dateTime="2018-01-17T14:47:15" maxSheetId="3" userName="Наталья Н. Цвик" r:id="rId110">
    <sheetIdMap count="2">
      <sheetId val="1"/>
      <sheetId val="2"/>
    </sheetIdMap>
  </header>
  <header guid="{D9748724-2E5B-45E7-A9DC-9CA31DC6A2FB}" dateTime="2018-01-17T14:48:32" maxSheetId="3" userName="Константин А. Бобылев" r:id="rId111" minRId="1309" maxRId="1327">
    <sheetIdMap count="2">
      <sheetId val="1"/>
      <sheetId val="2"/>
    </sheetIdMap>
  </header>
  <header guid="{7AD5EC71-9038-4507-9A4A-3070B663C94A}" dateTime="2018-01-17T14:49:44" maxSheetId="3" userName="Людмила Л. Панова" r:id="rId112" minRId="1331" maxRId="1334">
    <sheetIdMap count="2">
      <sheetId val="1"/>
      <sheetId val="2"/>
    </sheetIdMap>
  </header>
  <header guid="{C90DC7BE-0FDC-4C4F-9D7D-969417CFD0F2}" dateTime="2018-01-17T14:50:56" maxSheetId="3" userName="Людмила Л. Панова" r:id="rId113" minRId="1338" maxRId="1341">
    <sheetIdMap count="2">
      <sheetId val="1"/>
      <sheetId val="2"/>
    </sheetIdMap>
  </header>
  <header guid="{7E367395-B06C-4F85-A879-18E8BD231DE4}" dateTime="2018-01-17T14:51:55" maxSheetId="3" userName="Константин А. Бобылев" r:id="rId114" minRId="1342" maxRId="1346">
    <sheetIdMap count="2">
      <sheetId val="1"/>
      <sheetId val="2"/>
    </sheetIdMap>
  </header>
  <header guid="{E9A780B8-829C-44F0-B2D7-8B8CE8FBEBE1}" dateTime="2018-01-17T15:05:51" maxSheetId="3" userName="Юлия Александровна Федчук" r:id="rId115" minRId="1347" maxRId="1362">
    <sheetIdMap count="2">
      <sheetId val="1"/>
      <sheetId val="2"/>
    </sheetIdMap>
  </header>
  <header guid="{C74A8527-C858-4FA0-AD62-4134D303618A}" dateTime="2018-01-17T15:11:27" maxSheetId="3" userName="Людмила Л. Панова" r:id="rId116" minRId="1363" maxRId="1366">
    <sheetIdMap count="2">
      <sheetId val="1"/>
      <sheetId val="2"/>
    </sheetIdMap>
  </header>
  <header guid="{FF6CAABE-8240-4DBA-BCC4-C5B73E5DDF8E}" dateTime="2018-01-17T15:12:27" maxSheetId="3" userName="Людмила Л. Панова" r:id="rId117" minRId="1367" maxRId="1370">
    <sheetIdMap count="2">
      <sheetId val="1"/>
      <sheetId val="2"/>
    </sheetIdMap>
  </header>
  <header guid="{C4A3708F-B96D-418D-8969-B79B6CE17AD6}" dateTime="2018-01-17T15:12:43" maxSheetId="3" userName="Людмила Л. Панова" r:id="rId118">
    <sheetIdMap count="2">
      <sheetId val="1"/>
      <sheetId val="2"/>
    </sheetIdMap>
  </header>
  <header guid="{C57E5025-303B-42C8-B121-1C7C779E35C5}" dateTime="2018-01-17T15:14:40" maxSheetId="3" userName="Людмила Л. Панова" r:id="rId119" minRId="1371" maxRId="1374">
    <sheetIdMap count="2">
      <sheetId val="1"/>
      <sheetId val="2"/>
    </sheetIdMap>
  </header>
  <header guid="{2C72CB37-8C92-4297-9EEF-7AC3EF83EB39}" dateTime="2018-01-17T15:17:23" maxSheetId="3" userName="Ольга С. Цыганова" r:id="rId120">
    <sheetIdMap count="2">
      <sheetId val="1"/>
      <sheetId val="2"/>
    </sheetIdMap>
  </header>
  <header guid="{7B869F58-474C-47A4-A25E-4E4062E3F937}" dateTime="2018-01-17T15:18:13" maxSheetId="3" userName="Людмила Л. Панова" r:id="rId121" minRId="1378" maxRId="1398">
    <sheetIdMap count="2">
      <sheetId val="1"/>
      <sheetId val="2"/>
    </sheetIdMap>
  </header>
  <header guid="{D99D21FD-6755-40E0-802E-6666C19BE51A}" dateTime="2018-01-17T15:18:25" maxSheetId="3" userName="Людмила Л. Панова" r:id="rId122" minRId="1402" maxRId="1404">
    <sheetIdMap count="2">
      <sheetId val="1"/>
      <sheetId val="2"/>
    </sheetIdMap>
  </header>
  <header guid="{B27528B0-3028-4245-914A-4B562C4F1531}" dateTime="2018-01-17T15:19:09" maxSheetId="3" userName="Ольга С. Цыганова" r:id="rId123">
    <sheetIdMap count="2">
      <sheetId val="1"/>
      <sheetId val="2"/>
    </sheetIdMap>
  </header>
  <header guid="{C17D76DA-485D-430E-899C-559C5A62125C}" dateTime="2018-01-17T15:19:13" maxSheetId="3" userName="Константин А. Бобылев" r:id="rId124" minRId="1408" maxRId="1413">
    <sheetIdMap count="2">
      <sheetId val="1"/>
      <sheetId val="2"/>
    </sheetIdMap>
  </header>
  <header guid="{AABAA10E-DFE9-4148-91D3-661D86ECDEF0}" dateTime="2018-01-17T15:19:34" maxSheetId="3" userName="Людмила Л. Панова" r:id="rId125" minRId="1414">
    <sheetIdMap count="2">
      <sheetId val="1"/>
      <sheetId val="2"/>
    </sheetIdMap>
  </header>
  <header guid="{FFE1500C-E095-4D73-828E-9925BFF09B44}" dateTime="2018-01-17T15:21:08" maxSheetId="3" userName="Ольга С. Цыганова" r:id="rId126">
    <sheetIdMap count="2">
      <sheetId val="1"/>
      <sheetId val="2"/>
    </sheetIdMap>
  </header>
  <header guid="{E8254F82-9237-40D1-AB7A-C16EA5F7B4DD}" dateTime="2018-01-17T15:21:42" maxSheetId="3" userName="Людмила Л. Панова" r:id="rId127" minRId="1418" maxRId="1419">
    <sheetIdMap count="2">
      <sheetId val="1"/>
      <sheetId val="2"/>
    </sheetIdMap>
  </header>
  <header guid="{66186106-49D6-412F-AD8D-ACCC3E2D4D66}" dateTime="2018-01-17T15:25:44" maxSheetId="3" userName="Людмила Л. Панова" r:id="rId128" minRId="1420">
    <sheetIdMap count="2">
      <sheetId val="1"/>
      <sheetId val="2"/>
    </sheetIdMap>
  </header>
  <header guid="{E7768781-48AF-4D15-841B-A39A30E60A13}" dateTime="2018-01-17T15:27:50" maxSheetId="3" userName="Ольга С. Цыганова" r:id="rId129">
    <sheetIdMap count="2">
      <sheetId val="1"/>
      <sheetId val="2"/>
    </sheetIdMap>
  </header>
  <header guid="{7056ACE2-3534-4323-AAC4-73746A5899BC}" dateTime="2018-01-17T15:29:08" maxSheetId="3" userName="Людмила Л. Панова" r:id="rId130" minRId="1424">
    <sheetIdMap count="2">
      <sheetId val="1"/>
      <sheetId val="2"/>
    </sheetIdMap>
  </header>
  <header guid="{1F51CA57-D74C-4EE4-9E68-B606A8DFEA2F}" dateTime="2018-01-17T15:30:49" maxSheetId="3" userName="Константин А. Бобылев" r:id="rId131" minRId="1425" maxRId="1426">
    <sheetIdMap count="2">
      <sheetId val="1"/>
      <sheetId val="2"/>
    </sheetIdMap>
  </header>
  <header guid="{4F4C436E-26D6-4BF7-93CC-4E6008E3F264}" dateTime="2018-01-17T15:39:36" maxSheetId="3" userName="fin-4053" r:id="rId132">
    <sheetIdMap count="2">
      <sheetId val="1"/>
      <sheetId val="2"/>
    </sheetIdMap>
  </header>
  <header guid="{6D4EBAAA-8742-411B-818B-523C00A5BE23}" dateTime="2018-01-17T16:02:09" maxSheetId="3" userName="Константин А. Бобылев" r:id="rId133" minRId="1430" maxRId="1461">
    <sheetIdMap count="2">
      <sheetId val="1"/>
      <sheetId val="2"/>
    </sheetIdMap>
  </header>
  <header guid="{F4AAC832-A8AE-4E09-912C-05F0CE857D76}" dateTime="2018-01-17T16:07:11" maxSheetId="3" userName="Константин А. Бобылев" r:id="rId134" minRId="1465">
    <sheetIdMap count="2">
      <sheetId val="1"/>
      <sheetId val="2"/>
    </sheetIdMap>
  </header>
  <header guid="{00E92BC8-4157-4E5C-ACE6-8F3A8453814D}" dateTime="2018-01-17T16:45:20" maxSheetId="3" userName="Екатерина В. Баженова" r:id="rId135" minRId="1466" maxRId="1467">
    <sheetIdMap count="2">
      <sheetId val="1"/>
      <sheetId val="2"/>
    </sheetIdMap>
  </header>
  <header guid="{3784EBD5-230A-4268-959F-E3075CBBBB26}" dateTime="2018-01-17T16:47:12" maxSheetId="3" userName="Екатерина В. Баженова" r:id="rId136" minRId="1471" maxRId="1472">
    <sheetIdMap count="2">
      <sheetId val="1"/>
      <sheetId val="2"/>
    </sheetIdMap>
  </header>
  <header guid="{1EE5A883-AB01-4B86-A5C3-C237B2D88213}" dateTime="2018-01-17T16:48:06" maxSheetId="3" userName="Екатерина В. Баженова" r:id="rId137" minRId="1476" maxRId="1477">
    <sheetIdMap count="2">
      <sheetId val="1"/>
      <sheetId val="2"/>
    </sheetIdMap>
  </header>
  <header guid="{A5EC78A2-D256-4C21-ADCB-040975333AD3}" dateTime="2018-01-17T16:49:07" maxSheetId="3" userName="Екатерина В. Баженова" r:id="rId138" minRId="1478" maxRId="1479">
    <sheetIdMap count="2">
      <sheetId val="1"/>
      <sheetId val="2"/>
    </sheetIdMap>
  </header>
  <header guid="{561F92B5-18CA-43C9-8CAA-9F383319EA2F}" dateTime="2018-01-17T17:02:20" maxSheetId="3" userName="fin-4053" r:id="rId139">
    <sheetIdMap count="2">
      <sheetId val="1"/>
      <sheetId val="2"/>
    </sheetIdMap>
  </header>
  <header guid="{CC90215C-D4B7-4FF8-A22E-A91F37C8A55D}" dateTime="2018-01-17T17:02:33" maxSheetId="3" userName="Людмила Л. Панова" r:id="rId140" minRId="1483" maxRId="1497">
    <sheetIdMap count="2">
      <sheetId val="1"/>
      <sheetId val="2"/>
    </sheetIdMap>
  </header>
  <header guid="{C75565C0-652E-4111-B227-7A8D126CF92B}" dateTime="2018-01-17T17:30:39" maxSheetId="3" userName="Мария Л. Хегай" r:id="rId141" minRId="1501" maxRId="1528">
    <sheetIdMap count="2">
      <sheetId val="1"/>
      <sheetId val="2"/>
    </sheetIdMap>
  </header>
  <header guid="{5A5C094B-AB9B-4D62-A18D-4A1754D88D74}" dateTime="2018-01-17T17:39:55" maxSheetId="3" userName="Юлия Александровна Федчук" r:id="rId142" minRId="1529" maxRId="1530">
    <sheetIdMap count="2">
      <sheetId val="1"/>
      <sheetId val="2"/>
    </sheetIdMap>
  </header>
  <header guid="{F02B2CAB-BDE5-47AE-A444-5283B0DB3E3C}" dateTime="2018-01-17T17:41:39" maxSheetId="3" userName="Людмила Л. Панова" r:id="rId143" minRId="1531" maxRId="1532">
    <sheetIdMap count="2">
      <sheetId val="1"/>
      <sheetId val="2"/>
    </sheetIdMap>
  </header>
  <header guid="{8F4429CB-552E-4E9A-A889-63022B94DFB9}" dateTime="2018-01-17T17:41:52" maxSheetId="3" userName="Юлия Александровна Федчук" r:id="rId144" minRId="1533" maxRId="1534">
    <sheetIdMap count="2">
      <sheetId val="1"/>
      <sheetId val="2"/>
    </sheetIdMap>
  </header>
  <header guid="{C5BA17EB-DB2E-4A3A-B02C-CC17DD65F7BA}" dateTime="2018-01-17T17:48:00" maxSheetId="3" userName="Людмила В. Латышева" r:id="rId145" minRId="1535" maxRId="1537">
    <sheetIdMap count="2">
      <sheetId val="1"/>
      <sheetId val="2"/>
    </sheetIdMap>
  </header>
  <header guid="{23F0AC04-AE50-4A1E-AC9C-77390B0A21A0}" dateTime="2018-01-17T17:48:24" maxSheetId="3" userName="Юлия Александровна Федчук" r:id="rId146" minRId="1541" maxRId="1542">
    <sheetIdMap count="2">
      <sheetId val="1"/>
      <sheetId val="2"/>
    </sheetIdMap>
  </header>
  <header guid="{3F1D0596-7A19-4593-8CC6-324051C66E9F}" dateTime="2018-01-17T17:49:03" maxSheetId="3" userName="Людмила Л. Панова" r:id="rId147" minRId="1543" maxRId="1546">
    <sheetIdMap count="2">
      <sheetId val="1"/>
      <sheetId val="2"/>
    </sheetIdMap>
  </header>
  <header guid="{EA2DC908-24C0-48FC-9227-FEFD416D20F1}" dateTime="2018-01-17T17:50:24" maxSheetId="3" userName="Людмила Л. Панова" r:id="rId148" minRId="1547" maxRId="1548">
    <sheetIdMap count="2">
      <sheetId val="1"/>
      <sheetId val="2"/>
    </sheetIdMap>
  </header>
  <header guid="{7DCC539B-FB55-40EB-82BF-434F30163B8A}" dateTime="2018-01-17T17:53:26" maxSheetId="3" userName="Людмила Л. Панова" r:id="rId149" minRId="1549" maxRId="1552">
    <sheetIdMap count="2">
      <sheetId val="1"/>
      <sheetId val="2"/>
    </sheetIdMap>
  </header>
  <header guid="{97BEBDBC-659A-4E67-8F74-61B1501D1C5C}" dateTime="2018-01-17T17:55:38" maxSheetId="3" userName="Оксана Д. Скрябина" r:id="rId150" minRId="1553" maxRId="1554">
    <sheetIdMap count="2">
      <sheetId val="1"/>
      <sheetId val="2"/>
    </sheetIdMap>
  </header>
  <header guid="{877AA666-77E1-4F3E-BF85-813CDF3B1F0A}" dateTime="2018-01-17T17:55:53" maxSheetId="3" userName="Людмила Л. Панова" r:id="rId151" minRId="1555" maxRId="1556">
    <sheetIdMap count="2">
      <sheetId val="1"/>
      <sheetId val="2"/>
    </sheetIdMap>
  </header>
  <header guid="{DB01C2D9-52CE-4781-AAB4-C59131E97533}" dateTime="2018-01-17T17:55:57" maxSheetId="3" userName="fin-4053" r:id="rId152" minRId="1557" maxRId="1585">
    <sheetIdMap count="2">
      <sheetId val="1"/>
      <sheetId val="2"/>
    </sheetIdMap>
  </header>
  <header guid="{964BF4C4-03F3-4AFA-9435-8B8F9E88A6EA}" dateTime="2018-01-17T17:57:15" maxSheetId="3" userName="Людмила Л. Панова" r:id="rId153" minRId="1589" maxRId="1590">
    <sheetIdMap count="2">
      <sheetId val="1"/>
      <sheetId val="2"/>
    </sheetIdMap>
  </header>
  <header guid="{F679E47B-E69E-45BC-B539-25EBEB7ECC64}" dateTime="2018-01-17T17:57:50" maxSheetId="3" userName="Людмила Л. Панова" r:id="rId154" minRId="1591" maxRId="1592">
    <sheetIdMap count="2">
      <sheetId val="1"/>
      <sheetId val="2"/>
    </sheetIdMap>
  </header>
  <header guid="{970788BB-3DD6-43C5-8429-09A1CA7439DC}" dateTime="2018-01-17T18:01:11" maxSheetId="3" userName="Юлия Александровна Федчук" r:id="rId155" minRId="1593" maxRId="1607">
    <sheetIdMap count="2">
      <sheetId val="1"/>
      <sheetId val="2"/>
    </sheetIdMap>
  </header>
  <header guid="{ECDDD63F-848F-4520-84CE-75D7F1EE3E24}" dateTime="2018-01-17T18:02:44" maxSheetId="3" userName="fin-4053" r:id="rId156" minRId="1608" maxRId="1609">
    <sheetIdMap count="2">
      <sheetId val="1"/>
      <sheetId val="2"/>
    </sheetIdMap>
  </header>
  <header guid="{88F3DAEE-8ED5-4643-998A-3BA021D1BAD8}" dateTime="2018-01-17T18:04:46" maxSheetId="3" userName="Юлия Александровна Федчук" r:id="rId157" minRId="1613" maxRId="1616">
    <sheetIdMap count="2">
      <sheetId val="1"/>
      <sheetId val="2"/>
    </sheetIdMap>
  </header>
  <header guid="{12CD8CDE-EAA3-4EB3-97A9-6C342C6A8340}" dateTime="2018-01-17T18:15:24" maxSheetId="3" userName="Юлия Александровна Федчук" r:id="rId158" minRId="1617" maxRId="1637">
    <sheetIdMap count="2">
      <sheetId val="1"/>
      <sheetId val="2"/>
    </sheetIdMap>
  </header>
  <header guid="{82A6301A-9792-44D4-B5AC-097F1BC04EA6}" dateTime="2018-01-17T18:18:46" maxSheetId="3" userName="Юлия Александровна Федчук" r:id="rId159" minRId="1638" maxRId="1639">
    <sheetIdMap count="2">
      <sheetId val="1"/>
      <sheetId val="2"/>
    </sheetIdMap>
  </header>
  <header guid="{28FC72EF-331D-40CD-9438-DD4A26016770}" dateTime="2018-01-17T18:20:47" maxSheetId="3" userName="Оксана Д. Скрябина" r:id="rId160" minRId="1640" maxRId="1641">
    <sheetIdMap count="2">
      <sheetId val="1"/>
      <sheetId val="2"/>
    </sheetIdMap>
  </header>
  <header guid="{3C58D544-7A94-43B5-881C-7A58BC7921D0}" dateTime="2018-01-17T18:22:32" maxSheetId="3" userName="Юлия Александровна Федчук" r:id="rId161" minRId="1642" maxRId="1656">
    <sheetIdMap count="2">
      <sheetId val="1"/>
      <sheetId val="2"/>
    </sheetIdMap>
  </header>
  <header guid="{83496656-A6C6-406D-91B4-8B912E713C50}" dateTime="2018-01-17T18:24:23" maxSheetId="3" userName="Юлия Александровна Федчук" r:id="rId162" minRId="1657" maxRId="1658">
    <sheetIdMap count="2">
      <sheetId val="1"/>
      <sheetId val="2"/>
    </sheetIdMap>
  </header>
  <header guid="{53A8D880-2C44-44D5-A010-54EB023F26B7}" dateTime="2018-01-17T18:28:28" maxSheetId="3" userName="Юлия Александровна Федчук" r:id="rId163" minRId="1659" maxRId="1673">
    <sheetIdMap count="2">
      <sheetId val="1"/>
      <sheetId val="2"/>
    </sheetIdMap>
  </header>
  <header guid="{57D255DF-46BD-4A68-ADE4-6E4F58FBA7BA}" dateTime="2018-01-17T18:32:59" maxSheetId="3" userName="fin-4053" r:id="rId164" minRId="1674" maxRId="1675">
    <sheetIdMap count="2">
      <sheetId val="1"/>
      <sheetId val="2"/>
    </sheetIdMap>
  </header>
  <header guid="{4027B322-4CCF-4C3D-B2FB-50659DE60238}" dateTime="2018-01-18T08:42:59" maxSheetId="3" userName="Мария Л. Хегай" r:id="rId165" minRId="1679" maxRId="1680">
    <sheetIdMap count="2">
      <sheetId val="1"/>
      <sheetId val="2"/>
    </sheetIdMap>
  </header>
  <header guid="{C6A10197-766E-4896-819B-7730BFF602DA}" dateTime="2018-01-18T09:25:56" maxSheetId="3" userName="Юлия Александровна Федчук" r:id="rId166" minRId="1681" maxRId="1682">
    <sheetIdMap count="2">
      <sheetId val="1"/>
      <sheetId val="2"/>
    </sheetIdMap>
  </header>
  <header guid="{8F24FF9A-BAD7-42C5-A31F-3689E7C16A33}" dateTime="2018-01-18T09:29:45" maxSheetId="3" userName="Екатерина В. Баженова" r:id="rId167" minRId="1683" maxRId="1694">
    <sheetIdMap count="2">
      <sheetId val="1"/>
      <sheetId val="2"/>
    </sheetIdMap>
  </header>
  <header guid="{DBFFF531-1EAD-4D45-ABF8-9B7F25428E71}" dateTime="2018-01-18T09:32:58" maxSheetId="3" userName="Екатерина В. Баженова" r:id="rId168" minRId="1698" maxRId="1706">
    <sheetIdMap count="2">
      <sheetId val="1"/>
      <sheetId val="2"/>
    </sheetIdMap>
  </header>
  <header guid="{F2F6D8A1-326B-49EF-A1BC-576876CF71EB}" dateTime="2018-01-18T09:34:00" maxSheetId="3" userName="Юлия Александровна Федчук" r:id="rId169" minRId="1707" maxRId="1708">
    <sheetIdMap count="2">
      <sheetId val="1"/>
      <sheetId val="2"/>
    </sheetIdMap>
  </header>
  <header guid="{03073BAB-9589-4877-BBF9-88F3F89F097D}" dateTime="2018-01-18T09:36:25" maxSheetId="3" userName="Юлия Александровна Федчук" r:id="rId170" minRId="1709" maxRId="1710">
    <sheetIdMap count="2">
      <sheetId val="1"/>
      <sheetId val="2"/>
    </sheetIdMap>
  </header>
  <header guid="{E379BA0E-E523-43E5-9A46-F4EA39796B0C}" dateTime="2018-01-18T09:54:20" maxSheetId="3" userName="Мария Л. Хегай" r:id="rId171" minRId="1711" maxRId="1712">
    <sheetIdMap count="2">
      <sheetId val="1"/>
      <sheetId val="2"/>
    </sheetIdMap>
  </header>
  <header guid="{AA3805FC-764A-4AA4-8C1B-4E376DD3EC0B}" dateTime="2018-01-18T10:24:36" maxSheetId="3" userName="Юлия Александровна Федчук" r:id="rId172" minRId="1713" maxRId="1715">
    <sheetIdMap count="2">
      <sheetId val="1"/>
      <sheetId val="2"/>
    </sheetIdMap>
  </header>
  <header guid="{539DD02E-2CC3-40A9-B3BB-827259F9058E}" dateTime="2018-01-18T10:36:30" maxSheetId="3" userName="Константин А. Бобылев" r:id="rId173" minRId="1716" maxRId="1735">
    <sheetIdMap count="2">
      <sheetId val="1"/>
      <sheetId val="2"/>
    </sheetIdMap>
  </header>
  <header guid="{7E64DC0C-F8D5-4F25-874C-F0D889EB98BE}" dateTime="2018-01-18T10:53:02" maxSheetId="3" userName="Елена И. Комогорцева" r:id="rId174" minRId="1736" maxRId="1737">
    <sheetIdMap count="2">
      <sheetId val="1"/>
      <sheetId val="2"/>
    </sheetIdMap>
  </header>
  <header guid="{E99AE5D2-0A63-4D1A-BC7E-F1A2632B8D17}" dateTime="2018-01-18T11:07:23" maxSheetId="3" userName="Наталья Н. Цвик" r:id="rId175">
    <sheetIdMap count="2">
      <sheetId val="1"/>
      <sheetId val="2"/>
    </sheetIdMap>
  </header>
  <header guid="{97DE3212-6869-4672-94EA-3DD6E4A2D1B3}" dateTime="2018-01-18T11:08:44" maxSheetId="3" userName="Юлия Александровна Федчук" r:id="rId176" minRId="1741">
    <sheetIdMap count="2">
      <sheetId val="1"/>
      <sheetId val="2"/>
    </sheetIdMap>
  </header>
  <header guid="{B022853B-932D-4F45-A7FA-C3344691A246}" dateTime="2018-01-18T11:24:20" maxSheetId="3" userName="Юлия Александровна Федчук" r:id="rId177" minRId="1742" maxRId="1757">
    <sheetIdMap count="2">
      <sheetId val="1"/>
      <sheetId val="2"/>
    </sheetIdMap>
  </header>
  <header guid="{F1C7C55C-39E7-4AF0-A64A-7D87408CE3CB}" dateTime="2018-01-18T11:29:43" maxSheetId="3" userName="Людмила Л. Панова" r:id="rId178">
    <sheetIdMap count="2">
      <sheetId val="1"/>
      <sheetId val="2"/>
    </sheetIdMap>
  </header>
  <header guid="{60477C0E-94EC-42B2-93D1-28B71FB54029}" dateTime="2018-01-18T11:33:14" maxSheetId="3" userName="Ольга В. Гонтова" r:id="rId179" minRId="1761" maxRId="1764">
    <sheetIdMap count="2">
      <sheetId val="1"/>
      <sheetId val="2"/>
    </sheetIdMap>
  </header>
  <header guid="{597CED67-0BBA-450D-87D3-97165C565C36}" dateTime="2018-01-18T11:44:19" maxSheetId="3" userName="Людмила Л. Панова" r:id="rId180" minRId="1768" maxRId="1771">
    <sheetIdMap count="2">
      <sheetId val="1"/>
      <sheetId val="2"/>
    </sheetIdMap>
  </header>
  <header guid="{E79D071C-3E53-464E-88D6-9F2A602C74D6}" dateTime="2018-01-18T11:44:56" maxSheetId="3" userName="Людмила Л. Панова" r:id="rId181">
    <sheetIdMap count="2">
      <sheetId val="1"/>
      <sheetId val="2"/>
    </sheetIdMap>
  </header>
  <header guid="{64989D2A-0082-40CA-A90A-4C60A4706C97}" dateTime="2018-01-18T11:52:45" maxSheetId="3" userName="Ольга С. Цыганова" r:id="rId182" minRId="1772" maxRId="1779">
    <sheetIdMap count="2">
      <sheetId val="1"/>
      <sheetId val="2"/>
    </sheetIdMap>
  </header>
  <header guid="{5BFBAD8A-1247-4606-8124-16909D4DF4AE}" dateTime="2018-01-18T11:59:08" maxSheetId="3" userName="Наталья Н. Цвик" r:id="rId183">
    <sheetIdMap count="2">
      <sheetId val="1"/>
      <sheetId val="2"/>
    </sheetIdMap>
  </header>
  <header guid="{A5D99D2B-729A-4C12-A3B7-698355AFF518}" dateTime="2018-01-18T11:59:14" maxSheetId="3" userName="Ольга С. Цыганова" r:id="rId184">
    <sheetIdMap count="2">
      <sheetId val="1"/>
      <sheetId val="2"/>
    </sheetIdMap>
  </header>
  <header guid="{609196C1-FD3A-4417-9A98-013827BE7732}" dateTime="2018-01-18T12:03:37" maxSheetId="3" userName="Юлия Александровна Федчук" r:id="rId185" minRId="1789" maxRId="1791">
    <sheetIdMap count="2">
      <sheetId val="1"/>
      <sheetId val="2"/>
    </sheetIdMap>
  </header>
  <header guid="{4BA9E05D-510B-4F67-97B5-5E21D93ADE56}" dateTime="2018-01-18T12:20:51" maxSheetId="3" userName="Людмила Л. Панова" r:id="rId186">
    <sheetIdMap count="2">
      <sheetId val="1"/>
      <sheetId val="2"/>
    </sheetIdMap>
  </header>
  <header guid="{C7932562-8A4E-4140-925D-8C5D6CF4501A}" dateTime="2018-01-18T12:21:53" maxSheetId="3" userName="Вишницкая Ольга Анатольевна" r:id="rId187" minRId="1795" maxRId="1796">
    <sheetIdMap count="2">
      <sheetId val="1"/>
      <sheetId val="2"/>
    </sheetIdMap>
  </header>
  <header guid="{42577A5A-A733-4DDF-A226-6DC1BA3BADE7}" dateTime="2018-01-18T12:22:59" maxSheetId="3" userName="Людмила Л. Панова" r:id="rId188">
    <sheetIdMap count="2">
      <sheetId val="1"/>
      <sheetId val="2"/>
    </sheetIdMap>
  </header>
  <header guid="{C0560C0C-7406-4CD6-89DA-E78BC4CD12A5}" dateTime="2018-01-18T12:25:09" maxSheetId="3" userName="Юлия Александровна Федчук" r:id="rId189" minRId="1800" maxRId="1803">
    <sheetIdMap count="2">
      <sheetId val="1"/>
      <sheetId val="2"/>
    </sheetIdMap>
  </header>
  <header guid="{9EA9343E-2F72-4B9C-B85D-6F6ACD5BAC59}" dateTime="2018-01-18T12:25:47" maxSheetId="3" userName="Ольга В. Гонтова" r:id="rId190" minRId="1804" maxRId="1812">
    <sheetIdMap count="2">
      <sheetId val="1"/>
      <sheetId val="2"/>
    </sheetIdMap>
  </header>
  <header guid="{3207B57A-8FBB-49D8-A172-265B1D7C045D}" dateTime="2018-01-18T12:28:39" maxSheetId="3" userName="Вишницкая Ольга Анатольевна" r:id="rId191" minRId="1813" maxRId="1816">
    <sheetIdMap count="2">
      <sheetId val="1"/>
      <sheetId val="2"/>
    </sheetIdMap>
  </header>
  <header guid="{0C673F2C-DEA9-4352-A69B-A0AD92F55CC6}" dateTime="2018-01-18T12:37:20" maxSheetId="3" userName="Вишницкая Ольга Анатольевна" r:id="rId192" minRId="1817" maxRId="1818">
    <sheetIdMap count="2">
      <sheetId val="1"/>
      <sheetId val="2"/>
    </sheetIdMap>
  </header>
  <header guid="{ABC82C61-A7D9-4A70-BE19-D19BAE1B4444}" dateTime="2018-01-18T12:48:58" maxSheetId="3" userName="Ольга С. Цыганова" r:id="rId193">
    <sheetIdMap count="2">
      <sheetId val="1"/>
      <sheetId val="2"/>
    </sheetIdMap>
  </header>
  <header guid="{2B9EA728-65EC-47B7-9282-C3D6D5FAEFD4}" dateTime="2018-01-18T12:52:01" maxSheetId="3" userName="Вишницкая Ольга Анатольевна" r:id="rId194">
    <sheetIdMap count="2">
      <sheetId val="1"/>
      <sheetId val="2"/>
    </sheetIdMap>
  </header>
  <header guid="{F28FA3D2-9059-43EA-9FB3-DA751AD52D75}" dateTime="2018-01-18T12:53:44" maxSheetId="3" userName="Мария Л. Хегай" r:id="rId195" minRId="1825" maxRId="1827">
    <sheetIdMap count="2">
      <sheetId val="1"/>
      <sheetId val="2"/>
    </sheetIdMap>
  </header>
  <header guid="{2879B258-C9B4-4EAA-A693-F0DC05D8C8C9}" dateTime="2018-01-18T12:55:57" maxSheetId="3" userName="Вишницкая Ольга Анатольевна" r:id="rId196" minRId="1828">
    <sheetIdMap count="2">
      <sheetId val="1"/>
      <sheetId val="2"/>
    </sheetIdMap>
  </header>
  <header guid="{F61392DE-BDD1-489F-967F-300AE805D76C}" dateTime="2018-01-18T14:01:22" maxSheetId="3" userName="Мария Л. Хегай" r:id="rId197" minRId="1829" maxRId="1856">
    <sheetIdMap count="2">
      <sheetId val="1"/>
      <sheetId val="2"/>
    </sheetIdMap>
  </header>
  <header guid="{65B19A0B-5472-4CBB-B592-0385481DDA71}" dateTime="2018-01-18T14:35:24" maxSheetId="3" userName="Ольга С. Цыганова" r:id="rId198">
    <sheetIdMap count="2">
      <sheetId val="1"/>
      <sheetId val="2"/>
    </sheetIdMap>
  </header>
  <header guid="{52E536A1-A0E9-44D3-B3EF-D0BEE629163D}" dateTime="2018-01-18T15:10:07" maxSheetId="3" userName="fin-4053" r:id="rId199">
    <sheetIdMap count="2">
      <sheetId val="1"/>
      <sheetId val="2"/>
    </sheetIdMap>
  </header>
  <header guid="{C168E7B0-7D43-4B29-B70C-70A6017353ED}" dateTime="2018-01-18T15:12:03" maxSheetId="3" userName="fin-4053" r:id="rId200">
    <sheetIdMap count="2">
      <sheetId val="1"/>
      <sheetId val="2"/>
    </sheetIdMap>
  </header>
  <header guid="{4AE84025-C0DF-4463-98C3-7F0F785038D9}" dateTime="2018-01-18T16:08:25" maxSheetId="3" userName="Ольга С. Цыганова" r:id="rId201" minRId="1866">
    <sheetIdMap count="2">
      <sheetId val="1"/>
      <sheetId val="2"/>
    </sheetIdMap>
  </header>
  <header guid="{1809EF76-A868-4FB3-A469-C0122616535B}" dateTime="2018-01-18T16:14:43" maxSheetId="3" userName="Ольга С. Цыганова" r:id="rId202" minRId="1870" maxRId="1876">
    <sheetIdMap count="2">
      <sheetId val="1"/>
      <sheetId val="2"/>
    </sheetIdMap>
  </header>
  <header guid="{93A68A3B-D03A-4E68-887F-ACF053EAEE67}" dateTime="2018-01-18T16:35:58" maxSheetId="3" userName="Ольга С. Цыганова" r:id="rId203">
    <sheetIdMap count="2">
      <sheetId val="1"/>
      <sheetId val="2"/>
    </sheetIdMap>
  </header>
  <header guid="{17FCB544-42E5-4CCE-B63A-AD1218ABAE1F}" dateTime="2018-01-18T16:37:00" maxSheetId="3" userName="fin-4053" r:id="rId204">
    <sheetIdMap count="2">
      <sheetId val="1"/>
      <sheetId val="2"/>
    </sheetIdMap>
  </header>
  <header guid="{864BF05B-83D9-4ED2-8E55-3D5D81D3BFF8}" dateTime="2018-01-18T17:07:51" maxSheetId="3" userName="Екатерина В. Баженова" r:id="rId205" minRId="1886" maxRId="1889">
    <sheetIdMap count="2">
      <sheetId val="1"/>
      <sheetId val="2"/>
    </sheetIdMap>
  </header>
  <header guid="{81216336-0707-4ECF-8D53-FD7145F47E4F}" dateTime="2018-01-18T17:08:55" maxSheetId="3" userName="Екатерина В. Баженова" r:id="rId206" minRId="1890" maxRId="1893">
    <sheetIdMap count="2">
      <sheetId val="1"/>
      <sheetId val="2"/>
    </sheetIdMap>
  </header>
  <header guid="{E3DA5C09-06CA-4AA9-9181-C73FB84650B2}" dateTime="2018-01-18T17:19:24" maxSheetId="3" userName="fin-4053" r:id="rId207">
    <sheetIdMap count="2">
      <sheetId val="1"/>
      <sheetId val="2"/>
    </sheetIdMap>
  </header>
  <header guid="{11F80DF5-ADDA-4878-B717-E400FA3F1BA1}" dateTime="2018-01-18T17:21:46" maxSheetId="3" userName="fin-4053" r:id="rId208" minRId="1897">
    <sheetIdMap count="2">
      <sheetId val="1"/>
      <sheetId val="2"/>
    </sheetIdMap>
  </header>
  <header guid="{769938D7-5EE3-4B7E-91B9-D4FCDC00E1B1}" dateTime="2018-01-18T17:22:31" maxSheetId="3" userName="fin-4053" r:id="rId209">
    <sheetIdMap count="2">
      <sheetId val="1"/>
      <sheetId val="2"/>
    </sheetIdMap>
  </header>
  <header guid="{C77EA5DE-15E9-489F-98B1-150511147EBD}" dateTime="2018-01-18T17:26:52" maxSheetId="3" userName="Константин А. Бобылев" r:id="rId210" minRId="1904" maxRId="1905">
    <sheetIdMap count="2">
      <sheetId val="1"/>
      <sheetId val="2"/>
    </sheetIdMap>
  </header>
  <header guid="{B429A63D-B6FC-4EE9-95A6-EB427A2F5BBE}" dateTime="2018-01-19T09:14:35" maxSheetId="3" userName="Константин А. Бобылев" r:id="rId211">
    <sheetIdMap count="2">
      <sheetId val="1"/>
      <sheetId val="2"/>
    </sheetIdMap>
  </header>
  <header guid="{43CE06B3-831B-426C-A5A7-34898CB04F1D}" dateTime="2018-01-19T11:02:18" maxSheetId="3" userName="fin-4053" r:id="rId212" minRId="1909" maxRId="1910">
    <sheetIdMap count="2">
      <sheetId val="1"/>
      <sheetId val="2"/>
    </sheetIdMap>
  </header>
  <header guid="{6FB5545E-4416-45AA-86A2-5779657CDE95}" dateTime="2018-01-19T11:02:51" maxSheetId="3" userName="fin-4053" r:id="rId213">
    <sheetIdMap count="2">
      <sheetId val="1"/>
      <sheetId val="2"/>
    </sheetIdMap>
  </header>
  <header guid="{459E0BB9-F4E0-4E88-B56A-DA8F1CE0E1BE}" dateTime="2018-01-19T11:03:45" maxSheetId="3" userName="fin-4053" r:id="rId214">
    <sheetIdMap count="2">
      <sheetId val="1"/>
      <sheetId val="2"/>
    </sheetIdMap>
  </header>
  <header guid="{909863AE-7243-42E3-AF55-49C9E0BF64C1}" dateTime="2018-01-19T11:15:51" maxSheetId="3" userName="Вишницкая Ольга Анатольевна" r:id="rId215">
    <sheetIdMap count="2">
      <sheetId val="1"/>
      <sheetId val="2"/>
    </sheetIdMap>
  </header>
  <header guid="{B84D9280-F525-4953-8EFB-43EDB42D460B}" dateTime="2018-01-19T12:04:03" maxSheetId="3" userName="fin-4053" r:id="rId216" minRId="1923" maxRId="1924">
    <sheetIdMap count="2">
      <sheetId val="1"/>
      <sheetId val="2"/>
    </sheetIdMap>
  </header>
  <header guid="{754E48E2-462D-4DE3-B26C-E893B06D2196}" dateTime="2018-01-31T11:24:30" maxSheetId="3" userName="Марина В. Цыбулина" r:id="rId217">
    <sheetIdMap count="2">
      <sheetId val="1"/>
      <sheetId val="2"/>
    </sheetIdMap>
  </header>
  <header guid="{04BD473F-B8D0-4D13-BB4D-61020B77CE91}" dateTime="2018-01-31T11:24:55" maxSheetId="3" userName="Марина В. Цыбулина" r:id="rId218" minRId="1931">
    <sheetIdMap count="2">
      <sheetId val="1"/>
      <sheetId val="2"/>
    </sheetIdMap>
  </header>
  <header guid="{F8C17EE9-77D6-4F6B-8890-1E0CF2162637}" dateTime="2018-01-31T16:18:37" maxSheetId="3" userName="Людмила В. Латышева" r:id="rId219">
    <sheetIdMap count="2">
      <sheetId val="1"/>
      <sheetId val="2"/>
    </sheetIdMap>
  </header>
  <header guid="{1428F0AD-4F77-44BC-A894-341572D91F66}" dateTime="2018-02-06T10:50:33" maxSheetId="3" userName="Марина В. Цыбулина" r:id="rId220" minRId="1935">
    <sheetIdMap count="2">
      <sheetId val="1"/>
      <sheetId val="2"/>
    </sheetIdMap>
  </header>
  <header guid="{1FC0D468-4B79-4D11-ABC6-735EB5AA0999}" dateTime="2018-02-06T10:57:46" maxSheetId="3" userName="Марина В. Цыбулина" r:id="rId221" minRId="1939" maxRId="2182">
    <sheetIdMap count="2">
      <sheetId val="1"/>
      <sheetId val="2"/>
    </sheetIdMap>
  </header>
  <header guid="{5B0A6898-C487-4A3E-AA98-EABFD53B38CD}" dateTime="2018-02-06T11:13:16" maxSheetId="3" userName="Людмила Л. Панова" r:id="rId222" minRId="2183" maxRId="2197">
    <sheetIdMap count="2">
      <sheetId val="1"/>
      <sheetId val="2"/>
    </sheetIdMap>
  </header>
  <header guid="{377189AB-DEB0-43C9-BDCF-B84D659188F3}" dateTime="2018-02-06T11:17:37" maxSheetId="3" userName="Людмила Л. Панова" r:id="rId223" minRId="2201" maxRId="2202">
    <sheetIdMap count="2">
      <sheetId val="1"/>
      <sheetId val="2"/>
    </sheetIdMap>
  </header>
  <header guid="{8575B2ED-5540-413A-A370-AA7F9E1DBBAB}" dateTime="2018-02-06T11:22:00" maxSheetId="3" userName="Марина В. Цыбулина" r:id="rId224" minRId="2203" maxRId="2308">
    <sheetIdMap count="2">
      <sheetId val="1"/>
      <sheetId val="2"/>
    </sheetIdMap>
  </header>
  <header guid="{B468CF3D-DA84-4750-8BDE-CB372087865D}" dateTime="2018-02-06T11:50:34" maxSheetId="3" userName="Оксана Д. Скрябина" r:id="rId225" minRId="2309" maxRId="2310">
    <sheetIdMap count="2">
      <sheetId val="1"/>
      <sheetId val="2"/>
    </sheetIdMap>
  </header>
  <header guid="{18CD3A9E-E92B-4C81-A883-A21335C216D2}" dateTime="2018-02-06T12:16:54" maxSheetId="3" userName="Оксана Д. Скрябина" r:id="rId226" minRId="2314" maxRId="2934">
    <sheetIdMap count="2">
      <sheetId val="1"/>
      <sheetId val="2"/>
    </sheetIdMap>
  </header>
  <header guid="{1BD3D986-1DFE-48A8-8674-9357CDC300FF}" dateTime="2018-02-06T12:29:49" maxSheetId="3" userName="Марина В. Цыбулина" r:id="rId227">
    <sheetIdMap count="2">
      <sheetId val="1"/>
      <sheetId val="2"/>
    </sheetIdMap>
  </header>
  <header guid="{27AD2855-258A-498B-966F-7A655FA120FF}" dateTime="2018-02-07T10:34:03" maxSheetId="3" userName="Марина В. Цыбулина" r:id="rId228" minRId="2938">
    <sheetIdMap count="2">
      <sheetId val="1"/>
      <sheetId val="2"/>
    </sheetIdMap>
  </header>
  <header guid="{4C9C067D-7090-4BA4-84EB-A6ACBEC22087}" dateTime="2018-02-07T10:59:13" maxSheetId="3" userName="Марина В. Цыбулина" r:id="rId229" minRId="2939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923" sId="1" numFmtId="4">
    <oc r="F1649">
      <v>9342306.3000000007</v>
    </oc>
    <nc r="F1649">
      <f>9342306.3+71999</f>
    </nc>
  </rcc>
  <rcc rId="1924" sId="1" numFmtId="4">
    <oc r="F1650">
      <v>10206390.300000001</v>
    </oc>
    <nc r="F1650">
      <f>10206390.3+536701+1057345</f>
    </nc>
  </rcc>
  <rcv guid="{A1566C65-087F-49E5-974A-3CF262DD7D96}" action="delete"/>
  <rdn rId="0" localSheetId="1" customView="1" name="Z_A1566C65_087F_49E5_974A_3CF262DD7D96_.wvu.PrintArea" hidden="1" oldHidden="1">
    <formula>январь!$A$6:$F$1646</formula>
    <oldFormula>январь!$A$6:$F$1646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январь!$A$10:$O$1647</formula>
    <oldFormula>январь!$A$10:$O$1647</oldFormula>
  </rdn>
  <rcv guid="{A1566C65-087F-49E5-974A-3CF262DD7D96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" sId="1" numFmtId="4">
    <nc r="G1344">
      <v>20000</v>
    </nc>
  </rcc>
  <rcc rId="323" sId="1">
    <oc r="F1344">
      <f>500+10000</f>
    </oc>
    <nc r="F1344">
      <f>500+10000+20000</f>
    </nc>
  </rcc>
  <rcc rId="324" sId="1">
    <nc r="G1347" t="inlineStr">
      <is>
        <t xml:space="preserve">  +67000</t>
      </is>
    </nc>
  </rcc>
  <rcc rId="325" sId="1" numFmtId="4">
    <oc r="F1347">
      <v>40000</v>
    </oc>
    <nc r="F1347">
      <f>40000+67000</f>
    </nc>
  </rcc>
  <rcc rId="326" sId="1">
    <nc r="G1349" t="inlineStr">
      <is>
        <t xml:space="preserve">  +10000</t>
      </is>
    </nc>
  </rcc>
  <rcc rId="327" sId="1" numFmtId="4">
    <oc r="F1349">
      <v>65818.2</v>
    </oc>
    <nc r="F1349">
      <f>65818.2+10000</f>
    </nc>
  </rcc>
  <rcc rId="328" sId="1">
    <nc r="G1353" t="inlineStr">
      <is>
        <t xml:space="preserve">   +100000</t>
      </is>
    </nc>
  </rcc>
  <rcc rId="329" sId="1" numFmtId="4">
    <oc r="F1353">
      <v>61000</v>
    </oc>
    <nc r="F1353">
      <f>61000+100000</f>
    </nc>
  </rcc>
  <rcc rId="330" sId="1" numFmtId="4">
    <nc r="G1355">
      <v>13100</v>
    </nc>
  </rcc>
  <rcc rId="331" sId="1">
    <oc r="F1355">
      <f>57000-585.8+46900</f>
    </oc>
    <nc r="F1355">
      <f>57000-585.8+46900+13100</f>
    </nc>
  </rcc>
  <rrc rId="332" sId="1" ref="A1371:XFD1371" action="insertRow"/>
  <rrc rId="333" sId="1" ref="A1371:XFD1371" action="insertRow"/>
  <rrc rId="334" sId="1" ref="A1371:XFD1371" action="insertRow"/>
  <rcc rId="335" sId="1" odxf="1" dxf="1">
    <nc r="A1371" t="inlineStr">
      <is>
        <t>Приобретение автомобильной и специализированной техники и прочего имущества</t>
      </is>
    </nc>
    <odxf>
      <font>
        <sz val="12"/>
        <color auto="1"/>
      </font>
      <fill>
        <patternFill patternType="solid">
          <bgColor theme="0"/>
        </patternFill>
      </fill>
    </odxf>
    <ndxf>
      <font>
        <sz val="12"/>
        <color theme="1"/>
      </font>
      <fill>
        <patternFill patternType="none">
          <bgColor indexed="65"/>
        </patternFill>
      </fill>
    </ndxf>
  </rcc>
  <rcc rId="336" sId="1" odxf="1" dxf="1">
    <nc r="A1372" t="inlineStr">
      <is>
        <t>Иные обязательства, возникающие при реализации муниципальных программ</t>
      </is>
    </nc>
    <odxf>
      <font>
        <sz val="12"/>
        <color auto="1"/>
      </font>
      <fill>
        <patternFill patternType="solid">
          <bgColor theme="0"/>
        </patternFill>
      </fill>
      <alignment horizontal="left" vertical="top" readingOrder="0"/>
    </odxf>
    <ndxf>
      <font>
        <sz val="12"/>
        <color theme="1"/>
      </font>
      <fill>
        <patternFill patternType="none">
          <bgColor indexed="65"/>
        </patternFill>
      </fill>
      <alignment horizontal="general" vertical="center" readingOrder="0"/>
    </ndxf>
  </rcc>
  <rcc rId="337" sId="1" odxf="1" dxf="1">
    <nc r="A1373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vertical="top" readingOrder="0"/>
    </odxf>
    <ndxf>
      <fill>
        <patternFill patternType="none">
          <bgColor indexed="65"/>
        </patternFill>
      </fill>
      <alignment horizontal="general" vertical="center" readingOrder="0"/>
    </ndxf>
  </rcc>
  <rcc rId="338" sId="1">
    <nc r="C1371" t="inlineStr">
      <is>
        <t>0503</t>
      </is>
    </nc>
  </rcc>
  <rcc rId="339" sId="1" odxf="1" dxf="1">
    <nc r="D1371" t="inlineStr">
      <is>
        <t>1200800000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0" sId="1">
    <nc r="E1371" t="inlineStr">
      <is>
        <t/>
      </is>
    </nc>
  </rcc>
  <rcc rId="341" sId="1" odxf="1" dxf="1">
    <nc r="F1371">
      <f>F1372</f>
    </nc>
    <odxf>
      <font>
        <sz val="12"/>
        <color auto="1"/>
      </font>
    </odxf>
    <ndxf>
      <font>
        <sz val="12"/>
        <color theme="1"/>
      </font>
    </ndxf>
  </rcc>
  <rfmt sheetId="1" sqref="G1371" start="0" length="0">
    <dxf>
      <alignment horizontal="general" readingOrder="0"/>
    </dxf>
  </rfmt>
  <rcc rId="342" sId="1">
    <nc r="C1372" t="inlineStr">
      <is>
        <t>0503</t>
      </is>
    </nc>
  </rcc>
  <rcc rId="343" sId="1" odxf="1" dxf="1">
    <nc r="D1372" t="inlineStr">
      <is>
        <t>1200820990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4" sId="1" odxf="1" dxf="1">
    <nc r="F1372">
      <f>F1373</f>
    </nc>
    <odxf>
      <font>
        <sz val="12"/>
        <color auto="1"/>
      </font>
    </odxf>
    <ndxf>
      <font>
        <sz val="12"/>
        <color theme="1"/>
      </font>
    </ndxf>
  </rcc>
  <rfmt sheetId="1" sqref="G1372" start="0" length="0">
    <dxf>
      <alignment horizontal="general" readingOrder="0"/>
    </dxf>
  </rfmt>
  <rcc rId="345" sId="1" odxf="1" dxf="1">
    <nc r="C1373" t="inlineStr">
      <is>
        <t>0503</t>
      </is>
    </nc>
    <odxf>
      <font>
        <sz val="12"/>
        <color theme="1"/>
      </font>
    </odxf>
    <ndxf>
      <font>
        <sz val="12"/>
        <color auto="1"/>
      </font>
    </ndxf>
  </rcc>
  <rcc rId="346" sId="1" odxf="1" dxf="1">
    <nc r="D1373" t="inlineStr">
      <is>
        <t>1200820990</t>
      </is>
    </nc>
    <odxf>
      <font>
        <sz val="12"/>
        <color theme="1"/>
      </font>
      <fill>
        <patternFill patternType="solid">
          <bgColor theme="0"/>
        </patternFill>
      </fill>
    </odxf>
    <ndxf>
      <font>
        <sz val="12"/>
        <color auto="1"/>
      </font>
      <fill>
        <patternFill patternType="none">
          <bgColor indexed="65"/>
        </patternFill>
      </fill>
    </ndxf>
  </rcc>
  <rcc rId="347" sId="1" odxf="1" dxf="1">
    <nc r="E1373">
      <v>240</v>
    </nc>
    <odxf>
      <font>
        <sz val="12"/>
        <color theme="1"/>
      </font>
    </odxf>
    <ndxf>
      <font>
        <sz val="12"/>
        <color auto="1"/>
      </font>
    </ndxf>
  </rcc>
  <rcc rId="348" sId="1" odxf="1" dxf="1" numFmtId="4">
    <nc r="F1373">
      <v>13000</v>
    </nc>
    <odxf>
      <font>
        <sz val="12"/>
        <color auto="1"/>
      </font>
    </odxf>
    <ndxf>
      <font>
        <sz val="12"/>
        <color theme="1"/>
      </font>
    </ndxf>
  </rcc>
  <rcc rId="349" sId="1" odxf="1" dxf="1">
    <nc r="G1373" t="inlineStr">
      <is>
        <t xml:space="preserve">  +13000</t>
      </is>
    </nc>
    <odxf>
      <alignment horizontal="left" readingOrder="0"/>
    </odxf>
    <ndxf>
      <alignment horizontal="general" readingOrder="0"/>
    </ndxf>
  </rcc>
  <rcc rId="350" sId="1">
    <nc r="B1371" t="inlineStr">
      <is>
        <t>915</t>
      </is>
    </nc>
  </rcc>
  <rcc rId="351" sId="1">
    <nc r="B1372" t="inlineStr">
      <is>
        <t>915</t>
      </is>
    </nc>
  </rcc>
  <rcc rId="352" sId="1">
    <nc r="B1373" t="inlineStr">
      <is>
        <t>915</t>
      </is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8" sId="1">
    <nc r="G157" t="inlineStr">
      <is>
        <t>+2111,0 (4%)</t>
      </is>
    </nc>
  </rcc>
  <rfmt sheetId="1" sqref="G157" start="0" length="2147483647">
    <dxf>
      <font>
        <color rgb="FF390FB1"/>
      </font>
    </dxf>
  </rfmt>
  <rcc rId="1409" sId="1">
    <nc r="H157" t="inlineStr">
      <is>
        <t>Б</t>
      </is>
    </nc>
  </rcc>
  <rcc rId="1410" sId="1">
    <oc r="F157">
      <f>112068.5-9355</f>
    </oc>
    <nc r="F157">
      <f>112068.5-9355+2111</f>
    </nc>
  </rcc>
  <rfmt sheetId="1" sqref="G176">
    <dxf>
      <numFmt numFmtId="30" formatCode="@"/>
    </dxf>
  </rfmt>
  <rcc rId="1411" sId="1">
    <nc r="G176" t="inlineStr">
      <is>
        <t xml:space="preserve"> +527,2 (4%) +9600</t>
      </is>
    </nc>
  </rcc>
  <rcc rId="1412" sId="1">
    <nc r="H176" t="inlineStr">
      <is>
        <t>Б</t>
      </is>
    </nc>
  </rcc>
  <rfmt sheetId="1" sqref="G176:H176">
    <dxf>
      <alignment vertical="bottom" readingOrder="0"/>
    </dxf>
  </rfmt>
  <rfmt sheetId="1" sqref="G176:H176">
    <dxf>
      <alignment vertical="center" readingOrder="0"/>
    </dxf>
  </rfmt>
  <rfmt sheetId="1" sqref="G176:H176" start="0" length="2147483647">
    <dxf>
      <font>
        <color rgb="FF390FB1"/>
      </font>
    </dxf>
  </rfmt>
  <rcc rId="1413" sId="1" numFmtId="4">
    <oc r="F176">
      <v>9000</v>
    </oc>
    <nc r="F176">
      <f>9000+527.2+9600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4" sId="1">
    <oc r="F1196">
      <f>F1197+F1200+F1203+F1207+F1212</f>
    </oc>
    <nc r="F1196">
      <f>F1197+F1200+F1203+F1207+F1212+F1216</f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F7D559D-0166-4787-B1BA-841D705C6F88}" action="delete"/>
  <rdn rId="0" localSheetId="1" customView="1" name="Z_CF7D559D_0166_4787_B1BA_841D705C6F88_.wvu.PrintArea" hidden="1" oldHidden="1">
    <formula>январь!$A$6:$F$1619</formula>
    <oldFormula>январь!$A$6:$F$1619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январь!$A$10:$O$1620</formula>
    <oldFormula>январь!$A$10:$O$1620</oldFormula>
  </rdn>
  <rcv guid="{CF7D559D-0166-4787-B1BA-841D705C6F88}" action="add"/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8" sId="1">
    <oc r="F1249">
      <v>9843.7999999999993</v>
    </oc>
    <nc r="F1249">
      <f>9843.8+45000</f>
    </nc>
  </rcc>
  <rcc rId="1419" sId="1" numFmtId="4">
    <nc r="G1249">
      <v>45000</v>
    </nc>
  </rcc>
  <rfmt sheetId="1" sqref="G1249">
    <dxf>
      <numFmt numFmtId="169" formatCode="\+0.0"/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0" sId="1">
    <nc r="B1994">
      <f>F1217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F7D559D-0166-4787-B1BA-841D705C6F88}" action="delete"/>
  <rdn rId="0" localSheetId="1" customView="1" name="Z_CF7D559D_0166_4787_B1BA_841D705C6F88_.wvu.PrintArea" hidden="1" oldHidden="1">
    <formula>январь!$A$6:$F$1619</formula>
    <oldFormula>январь!$A$6:$F$1619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январь!$A$10:$O$1620</formula>
    <oldFormula>январь!$A$10:$O$1620</oldFormula>
  </rdn>
  <rcv guid="{CF7D559D-0166-4787-B1BA-841D705C6F88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>
    <nc r="B1992">
      <f>F1208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5" sId="1" numFmtId="4">
    <oc r="F278">
      <v>18652.5</v>
    </oc>
    <nc r="F278">
      <f>18652.5+685</f>
    </nc>
  </rcc>
  <rcc rId="1426" sId="1">
    <oc r="G278" t="inlineStr">
      <is>
        <t>+18652,5</t>
      </is>
    </oc>
    <nc r="G278" t="inlineStr">
      <is>
        <t>+18652,5  +685(4%)</t>
      </is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30" sId="1" ref="A1156:XFD1156" action="insertRow"/>
  <rrc rId="1431" sId="1" ref="A1156:XFD1156" action="insertRow"/>
  <rrc rId="1432" sId="1" ref="A1156:XFD1156" action="insertRow"/>
  <rrc rId="1433" sId="1" ref="A1156:XFD1156" action="insertRow"/>
  <rfmt sheetId="1" sqref="A1156" start="0" length="0">
    <dxf>
      <font>
        <sz val="10"/>
        <color rgb="FF000000"/>
        <name val="Times New Roman"/>
        <scheme val="none"/>
      </font>
      <fill>
        <patternFill patternType="none">
          <bgColor indexed="65"/>
        </patternFill>
      </fill>
      <alignment horizontal="general" wrapText="1" readingOrder="0"/>
      <border outline="0">
        <left/>
        <right/>
        <top/>
        <bottom/>
      </border>
    </dxf>
  </rfmt>
  <rfmt sheetId="1" sqref="A1157" start="0" length="0">
    <dxf>
      <font>
        <sz val="10"/>
        <color rgb="FF000000"/>
        <name val="Times New Roman"/>
        <scheme val="none"/>
      </font>
      <fill>
        <patternFill patternType="none">
          <bgColor indexed="65"/>
        </patternFill>
      </fill>
      <alignment horizontal="general" wrapText="1" readingOrder="0"/>
      <border outline="0">
        <left/>
        <right/>
        <top/>
        <bottom/>
      </border>
    </dxf>
  </rfmt>
  <rfmt sheetId="1" sqref="A1158" start="0" length="0">
    <dxf>
      <font>
        <sz val="10"/>
        <color rgb="FF000000"/>
        <name val="Times New Roman"/>
        <scheme val="none"/>
      </font>
      <fill>
        <patternFill patternType="none">
          <bgColor indexed="65"/>
        </patternFill>
      </fill>
      <alignment horizontal="general" wrapText="1" readingOrder="0"/>
      <border outline="0">
        <left/>
        <right/>
        <top/>
        <bottom/>
      </border>
    </dxf>
  </rfmt>
  <rfmt sheetId="1" sqref="A1159" start="0" length="0">
    <dxf>
      <font>
        <sz val="10"/>
        <color rgb="FF000000"/>
        <name val="Times New Roman"/>
        <scheme val="none"/>
      </font>
      <fill>
        <patternFill patternType="none">
          <bgColor indexed="65"/>
        </patternFill>
      </fill>
      <alignment horizontal="general" wrapText="1" readingOrder="0"/>
      <border outline="0">
        <left/>
        <right/>
        <top/>
        <bottom/>
      </border>
    </dxf>
  </rfmt>
  <rcc rId="1434" sId="1" xfDxf="1" dxf="1">
    <nc r="A1156" t="inlineStr">
      <is>
        <t>Муниципальная программа «Формирование современной городской среды на 2018-2022 годы» на территории городского округа «Город Южно-Сахалинск»</t>
      </is>
    </nc>
    <ndxf>
      <font>
        <sz val="14"/>
      </font>
      <alignment horizontal="justify" vertical="center" readingOrder="0"/>
      <border outline="0">
        <top style="medium">
          <color indexed="64"/>
        </top>
        <bottom style="medium">
          <color indexed="64"/>
        </bottom>
      </border>
    </ndxf>
  </rcc>
  <rcc rId="1435" sId="1" xfDxf="1" dxf="1">
    <nc r="A1157" t="inlineStr">
      <is>
        <t>Приоритетный проект «Формирование современной городской среды»</t>
      </is>
    </nc>
    <ndxf>
      <font>
        <sz val="14"/>
      </font>
      <alignment horizontal="justify" vertical="center" readingOrder="0"/>
      <border outline="0">
        <bottom style="medium">
          <color indexed="64"/>
        </bottom>
      </border>
    </ndxf>
  </rcc>
  <rfmt sheetId="1" xfDxf="1" sqref="A1158" start="0" length="0">
    <dxf>
      <font>
        <sz val="14"/>
      </font>
      <alignment horizontal="justify" vertical="center" readingOrder="0"/>
      <border outline="0">
        <bottom style="medium">
          <color indexed="64"/>
        </bottom>
      </border>
    </dxf>
  </rfmt>
  <rfmt sheetId="1" xfDxf="1" sqref="A1159" start="0" length="0">
    <dxf>
      <font>
        <sz val="14"/>
      </font>
      <alignment horizontal="justify" vertical="center" readingOrder="0"/>
      <border outline="0">
        <bottom style="medium">
          <color indexed="64"/>
        </bottom>
      </border>
    </dxf>
  </rfmt>
  <rfmt sheetId="1" sqref="A1155:A1159" start="0" length="0">
    <dxf>
      <border>
        <left style="thin">
          <color indexed="64"/>
        </left>
      </border>
    </dxf>
  </rfmt>
  <rfmt sheetId="1" sqref="A1159" start="0" length="0">
    <dxf>
      <border>
        <bottom style="thin">
          <color indexed="64"/>
        </bottom>
      </border>
    </dxf>
  </rfmt>
  <rfmt sheetId="1" sqref="A1155:A1159">
    <dxf>
      <border>
        <left style="thin">
          <color indexed="64"/>
        </left>
        <right style="thin">
          <color indexed="64"/>
        </right>
        <vertical style="thin">
          <color indexed="64"/>
        </vertical>
      </border>
    </dxf>
  </rfmt>
  <rfmt sheetId="1" sqref="A1156:A1159" start="0" length="2147483647">
    <dxf>
      <font>
        <sz val="12"/>
      </font>
    </dxf>
  </rfmt>
  <rfmt sheetId="1" sqref="A1156:A1159">
    <dxf>
      <alignment horizontal="left" readingOrder="0"/>
    </dxf>
  </rfmt>
  <rfmt sheetId="1" sqref="A1156:A1159">
    <dxf>
      <alignment vertical="top" readingOrder="0"/>
    </dxf>
  </rfmt>
  <rcc rId="1436" sId="1">
    <nc r="B1156">
      <v>913</v>
    </nc>
  </rcc>
  <rcc rId="1437" sId="1">
    <nc r="C1156" t="inlineStr">
      <is>
        <t>0503</t>
      </is>
    </nc>
  </rcc>
  <rcc rId="1438" sId="1">
    <nc r="B1157">
      <v>913</v>
    </nc>
  </rcc>
  <rcc rId="1439" sId="1">
    <nc r="C1157" t="inlineStr">
      <is>
        <t>0503</t>
      </is>
    </nc>
  </rcc>
  <rcc rId="1440" sId="1">
    <nc r="B1158">
      <v>913</v>
    </nc>
  </rcc>
  <rcc rId="1441" sId="1">
    <nc r="C1158" t="inlineStr">
      <is>
        <t>0503</t>
      </is>
    </nc>
  </rcc>
  <rcc rId="1442" sId="1">
    <nc r="B1159">
      <v>913</v>
    </nc>
  </rcc>
  <rcc rId="1443" sId="1">
    <nc r="C1159" t="inlineStr">
      <is>
        <t>0503</t>
      </is>
    </nc>
  </rcc>
  <rcc rId="1444" sId="1">
    <nc r="D1156" t="inlineStr">
      <is>
        <t>2500000000</t>
      </is>
    </nc>
  </rcc>
  <rcc rId="1445" sId="1">
    <nc r="D1157" t="inlineStr">
      <is>
        <t>2500100000</t>
      </is>
    </nc>
  </rcc>
  <rcc rId="1446" sId="1">
    <nc r="D1158" t="inlineStr">
      <is>
        <t>25001S555F</t>
      </is>
    </nc>
  </rcc>
  <rcc rId="1447" sId="1">
    <nc r="D1159" t="inlineStr">
      <is>
        <t>25001S555F</t>
      </is>
    </nc>
  </rcc>
  <rcc rId="1448" sId="1">
    <nc r="E1159">
      <v>620</v>
    </nc>
  </rcc>
  <rcc rId="1449" sId="1">
    <oc r="E1160" t="inlineStr">
      <is>
        <t/>
      </is>
    </oc>
    <nc r="E1160"/>
  </rcc>
  <rcc rId="1450" sId="1">
    <nc r="A1158" t="inlineStr">
      <is>
        <t>Софинансирование субсидии на софинансирование расходных обязательств на поддержку муниципальной программы «Формирование современной городской среды на 2018-2022 годы» на территории городского округа «Город Южно-Сахалинск»</t>
      </is>
    </nc>
  </rcc>
  <rcc rId="1451" sId="1">
    <nc r="A1159" t="inlineStr">
      <is>
        <t xml:space="preserve">Субсидии автономным учреждениям </t>
      </is>
    </nc>
  </rcc>
  <rcc rId="1452" sId="1" numFmtId="4">
    <nc r="F1159">
      <v>3000</v>
    </nc>
  </rcc>
  <rcc rId="1453" sId="1" numFmtId="4">
    <nc r="G1159">
      <v>3000</v>
    </nc>
  </rcc>
  <rfmt sheetId="1" sqref="G1159" start="0" length="2147483647">
    <dxf>
      <font>
        <color rgb="FF390FB1"/>
      </font>
    </dxf>
  </rfmt>
  <rcc rId="1454" sId="1">
    <nc r="H1159" t="inlineStr">
      <is>
        <t>Б</t>
      </is>
    </nc>
  </rcc>
  <rfmt sheetId="1" sqref="H1159" start="0" length="2147483647">
    <dxf>
      <font>
        <b/>
      </font>
    </dxf>
  </rfmt>
  <rfmt sheetId="1" sqref="H1159" start="0" length="2147483647">
    <dxf>
      <font>
        <color rgb="FF390FB1"/>
      </font>
    </dxf>
  </rfmt>
  <rcc rId="1455" sId="1">
    <nc r="F1158">
      <f>F1159</f>
    </nc>
  </rcc>
  <rcc rId="1456" sId="1">
    <nc r="F1157">
      <f>F1158</f>
    </nc>
  </rcc>
  <rcc rId="1457" sId="1">
    <nc r="F1156">
      <f>F1157</f>
    </nc>
  </rcc>
  <rcc rId="1458" sId="1" numFmtId="4">
    <oc r="F1155">
      <v>3000</v>
    </oc>
    <nc r="F1155">
      <f>3000-3000</f>
    </nc>
  </rcc>
  <rcc rId="1459" sId="1" numFmtId="4">
    <nc r="G1155">
      <v>-3000</v>
    </nc>
  </rcc>
  <rcc rId="1460" sId="1">
    <nc r="H1155" t="inlineStr">
      <is>
        <t>Б</t>
      </is>
    </nc>
  </rcc>
  <rfmt sheetId="1" sqref="G1155:H1155" start="0" length="2147483647">
    <dxf>
      <font>
        <b val="0"/>
      </font>
    </dxf>
  </rfmt>
  <rfmt sheetId="1" sqref="G1155:H1155" start="0" length="2147483647">
    <dxf>
      <font>
        <b/>
      </font>
    </dxf>
  </rfmt>
  <rfmt sheetId="1" sqref="G1155:H1155" start="0" length="2147483647">
    <dxf>
      <font>
        <color rgb="FF390FB1"/>
      </font>
    </dxf>
  </rfmt>
  <rcc rId="1461" sId="1">
    <oc r="F1151">
      <f>F1152</f>
    </oc>
    <nc r="F1151">
      <f>F1152+F1156</f>
    </nc>
  </rcc>
  <rcv guid="{219F7EAD-D730-4D71-9324-77D1678FEC49}" action="delete"/>
  <rdn rId="0" localSheetId="1" customView="1" name="Z_219F7EAD_D730_4D71_9324_77D1678FEC49_.wvu.PrintArea" hidden="1" oldHidden="1">
    <formula>январь!$A$6:$F$1623</formula>
    <oldFormula>январь!$A$6:$F$1623</oldFormula>
  </rdn>
  <rdn rId="0" localSheetId="1" customView="1" name="Z_219F7EAD_D730_4D71_9324_77D1678FEC49_.wvu.PrintTitles" hidden="1" oldHidden="1">
    <formula>январь!$9:$10</formula>
    <oldFormula>январь!$9:$10</oldFormula>
  </rdn>
  <rdn rId="0" localSheetId="1" customView="1" name="Z_219F7EAD_D730_4D71_9324_77D1678FEC49_.wvu.FilterData" hidden="1" oldHidden="1">
    <formula>январь!$A$10:$O$1624</formula>
    <oldFormula>январь!$A$10:$O$1624</oldFormula>
  </rdn>
  <rcv guid="{219F7EAD-D730-4D71-9324-77D1678FEC49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5" sId="1">
    <oc r="B1839">
      <f>F430</f>
    </oc>
    <nc r="B1839">
      <f>F430+F1158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fmt sheetId="1" sqref="G1000">
    <dxf>
      <alignment vertical="center" readingOrder="0"/>
    </dxf>
  </rfmt>
  <rrc rId="874" sId="1" ref="A913:XFD917" action="insertRow"/>
  <rcc rId="875" sId="1">
    <nc r="A913" t="inlineStr">
      <is>
        <t>Профессиональная подготовка, переподготовка и повышение квалификации</t>
      </is>
    </nc>
  </rcc>
  <rfmt sheetId="1" sqref="B913" start="0" length="0">
    <dxf>
      <fill>
        <patternFill patternType="none">
          <bgColor indexed="65"/>
        </patternFill>
      </fill>
      <alignment vertical="top" readingOrder="0"/>
    </dxf>
  </rfmt>
  <rcc rId="876" sId="1" odxf="1" dxf="1">
    <nc r="C913" t="inlineStr">
      <is>
        <t>0705</t>
      </is>
    </nc>
    <odxf>
      <alignment vertical="center" readingOrder="0"/>
    </odxf>
    <ndxf>
      <alignment vertical="top" readingOrder="0"/>
    </ndxf>
  </rcc>
  <rfmt sheetId="1" sqref="D913" start="0" length="0">
    <dxf>
      <alignment vertical="top" readingOrder="0"/>
    </dxf>
  </rfmt>
  <rfmt sheetId="1" sqref="E913" start="0" length="0">
    <dxf>
      <alignment vertical="top" readingOrder="0"/>
    </dxf>
  </rfmt>
  <rcc rId="877" sId="1" odxf="1" dxf="1">
    <nc r="F913">
      <f>F914</f>
    </nc>
    <odxf>
      <alignment vertical="center" readingOrder="0"/>
    </odxf>
    <ndxf>
      <alignment vertical="top" readingOrder="0"/>
    </ndxf>
  </rcc>
  <rfmt sheetId="1" sqref="G913" start="0" length="0">
    <dxf>
      <font>
        <b val="0"/>
        <sz val="12"/>
        <color auto="1"/>
      </font>
      <numFmt numFmtId="3" formatCode="#,##0"/>
    </dxf>
  </rfmt>
  <rcc rId="878" sId="1">
    <nc r="A914" t="inlineStr">
      <is>
        <t>Муниципальная программа "Реформирование и развитие системы муниципальной службы в администрации города Южно-Сахалинска (2015-2020 годы)"</t>
      </is>
    </nc>
  </rcc>
  <rfmt sheetId="1" sqref="B914" start="0" length="0">
    <dxf>
      <fill>
        <patternFill patternType="none">
          <bgColor indexed="65"/>
        </patternFill>
      </fill>
      <alignment vertical="top" readingOrder="0"/>
    </dxf>
  </rfmt>
  <rcc rId="879" sId="1" odxf="1" dxf="1">
    <nc r="C914" t="inlineStr">
      <is>
        <t>0705</t>
      </is>
    </nc>
    <odxf>
      <alignment vertical="center" readingOrder="0"/>
    </odxf>
    <ndxf>
      <alignment vertical="top" readingOrder="0"/>
    </ndxf>
  </rcc>
  <rcc rId="880" sId="1" odxf="1" dxf="1">
    <nc r="D914" t="inlineStr">
      <is>
        <t>0300000000</t>
      </is>
    </nc>
    <odxf>
      <alignment vertical="center" readingOrder="0"/>
    </odxf>
    <ndxf>
      <alignment vertical="top" readingOrder="0"/>
    </ndxf>
  </rcc>
  <rcc rId="881" sId="1" odxf="1" dxf="1">
    <nc r="E914" t="inlineStr">
      <is>
        <t/>
      </is>
    </nc>
    <odxf>
      <alignment vertical="center" readingOrder="0"/>
    </odxf>
    <ndxf>
      <alignment vertical="top" readingOrder="0"/>
    </ndxf>
  </rcc>
  <rcc rId="882" sId="1" odxf="1" dxf="1">
    <nc r="F914">
      <f>F915</f>
    </nc>
    <odxf>
      <alignment vertical="center" readingOrder="0"/>
    </odxf>
    <ndxf>
      <alignment vertical="top" readingOrder="0"/>
    </ndxf>
  </rcc>
  <rfmt sheetId="1" sqref="G914" start="0" length="0">
    <dxf>
      <font>
        <b val="0"/>
        <sz val="12"/>
        <color auto="1"/>
      </font>
      <numFmt numFmtId="3" formatCode="#,##0"/>
    </dxf>
  </rfmt>
  <rcc rId="883" sId="1">
    <nc r="A915" t="inlineStr">
      <is>
        <t>Дополнительное образование муниципальных служащих</t>
      </is>
    </nc>
  </rcc>
  <rfmt sheetId="1" sqref="B915" start="0" length="0">
    <dxf>
      <fill>
        <patternFill patternType="none">
          <bgColor indexed="65"/>
        </patternFill>
      </fill>
      <alignment vertical="top" readingOrder="0"/>
    </dxf>
  </rfmt>
  <rcc rId="884" sId="1" odxf="1" dxf="1">
    <nc r="C915" t="inlineStr">
      <is>
        <t>0705</t>
      </is>
    </nc>
    <odxf>
      <alignment vertical="center" readingOrder="0"/>
    </odxf>
    <ndxf>
      <alignment vertical="top" readingOrder="0"/>
    </ndxf>
  </rcc>
  <rcc rId="885" sId="1" odxf="1" dxf="1">
    <nc r="D915" t="inlineStr">
      <is>
        <t>0300200000</t>
      </is>
    </nc>
    <odxf>
      <alignment vertical="center" readingOrder="0"/>
    </odxf>
    <ndxf>
      <alignment vertical="top" readingOrder="0"/>
    </ndxf>
  </rcc>
  <rcc rId="886" sId="1" odxf="1" dxf="1">
    <nc r="E915" t="inlineStr">
      <is>
        <t/>
      </is>
    </nc>
    <odxf>
      <alignment vertical="center" readingOrder="0"/>
    </odxf>
    <ndxf>
      <alignment vertical="top" readingOrder="0"/>
    </ndxf>
  </rcc>
  <rcc rId="887" sId="1" odxf="1" dxf="1">
    <nc r="F915">
      <f>F916</f>
    </nc>
    <odxf>
      <alignment vertical="center" readingOrder="0"/>
    </odxf>
    <ndxf>
      <alignment vertical="top" readingOrder="0"/>
    </ndxf>
  </rcc>
  <rfmt sheetId="1" sqref="G915" start="0" length="0">
    <dxf>
      <font>
        <b val="0"/>
        <sz val="12"/>
        <color auto="1"/>
      </font>
      <numFmt numFmtId="165" formatCode="#,##0.0"/>
    </dxf>
  </rfmt>
  <rcc rId="888" sId="1" odxf="1" dxf="1">
    <nc r="A916" t="inlineStr">
      <is>
        <t>Дополнительное профессиональное образование муниципальных служащих</t>
      </is>
    </nc>
    <odxf>
      <alignment horizontal="left" vertical="top" readingOrder="0"/>
    </odxf>
    <ndxf>
      <alignment horizontal="general" vertical="center" readingOrder="0"/>
    </ndxf>
  </rcc>
  <rfmt sheetId="1" sqref="B916" start="0" length="0">
    <dxf>
      <fill>
        <patternFill patternType="none">
          <bgColor indexed="65"/>
        </patternFill>
      </fill>
      <alignment vertical="top" readingOrder="0"/>
    </dxf>
  </rfmt>
  <rcc rId="889" sId="1" odxf="1" dxf="1">
    <nc r="C916" t="inlineStr">
      <is>
        <t>0705</t>
      </is>
    </nc>
    <odxf>
      <alignment vertical="center" readingOrder="0"/>
    </odxf>
    <ndxf>
      <alignment vertical="top" readingOrder="0"/>
    </ndxf>
  </rcc>
  <rcc rId="890" sId="1" odxf="1" dxf="1">
    <nc r="D916" t="inlineStr">
      <is>
        <t>0300220400</t>
      </is>
    </nc>
    <odxf>
      <alignment vertical="center" readingOrder="0"/>
    </odxf>
    <ndxf>
      <alignment vertical="top" readingOrder="0"/>
    </ndxf>
  </rcc>
  <rfmt sheetId="1" sqref="E916" start="0" length="0">
    <dxf>
      <alignment vertical="top" readingOrder="0"/>
    </dxf>
  </rfmt>
  <rcc rId="891" sId="1" odxf="1" dxf="1">
    <nc r="F916">
      <f>F917</f>
    </nc>
    <odxf>
      <alignment vertical="center" readingOrder="0"/>
    </odxf>
    <ndxf>
      <alignment vertical="top" readingOrder="0"/>
    </ndxf>
  </rcc>
  <rfmt sheetId="1" sqref="G916" start="0" length="0">
    <dxf>
      <font>
        <sz val="12"/>
        <color rgb="FF7030A0"/>
      </font>
    </dxf>
  </rfmt>
  <rcc rId="892" sId="1" odxf="1" dxf="1">
    <nc r="A917" t="inlineStr">
      <is>
        <t>Иные закупки товаров, работ и услуг для обеспечения государственных (муниципальных) нужд</t>
      </is>
    </nc>
    <odxf>
      <font>
        <sz val="12"/>
        <color theme="1"/>
      </font>
    </odxf>
    <ndxf>
      <font>
        <sz val="12"/>
        <color auto="1"/>
      </font>
    </ndxf>
  </rcc>
  <rfmt sheetId="1" sqref="B917" start="0" length="0">
    <dxf>
      <fill>
        <patternFill patternType="none">
          <bgColor indexed="65"/>
        </patternFill>
      </fill>
      <alignment vertical="top" readingOrder="0"/>
    </dxf>
  </rfmt>
  <rcc rId="893" sId="1" odxf="1" dxf="1">
    <nc r="C917" t="inlineStr">
      <is>
        <t>0705</t>
      </is>
    </nc>
    <odxf>
      <alignment vertical="center" readingOrder="0"/>
    </odxf>
    <ndxf>
      <alignment vertical="top" readingOrder="0"/>
    </ndxf>
  </rcc>
  <rcc rId="894" sId="1" odxf="1" dxf="1">
    <nc r="D917" t="inlineStr">
      <is>
        <t>0300220400</t>
      </is>
    </nc>
    <odxf>
      <alignment vertical="center" readingOrder="0"/>
    </odxf>
    <ndxf>
      <alignment vertical="top" readingOrder="0"/>
    </ndxf>
  </rcc>
  <rcc rId="895" sId="1" odxf="1" dxf="1">
    <nc r="E917">
      <v>240</v>
    </nc>
    <odxf>
      <alignment vertical="center" readingOrder="0"/>
    </odxf>
    <ndxf>
      <alignment vertical="top" readingOrder="0"/>
    </ndxf>
  </rcc>
  <rfmt sheetId="1" sqref="F917" start="0" length="0">
    <dxf>
      <alignment vertical="top" readingOrder="0"/>
    </dxf>
  </rfmt>
  <rfmt sheetId="1" sqref="G917" start="0" length="0">
    <dxf>
      <font>
        <sz val="12"/>
        <color rgb="FF7030A0"/>
      </font>
    </dxf>
  </rfmt>
  <rfmt sheetId="1" sqref="B913" start="0" length="0">
    <dxf>
      <fill>
        <patternFill patternType="solid">
          <bgColor theme="0"/>
        </patternFill>
      </fill>
      <alignment vertical="center" readingOrder="0"/>
    </dxf>
  </rfmt>
  <rfmt sheetId="1" sqref="B914" start="0" length="0">
    <dxf>
      <fill>
        <patternFill patternType="solid">
          <bgColor theme="0"/>
        </patternFill>
      </fill>
      <alignment vertical="center" readingOrder="0"/>
    </dxf>
  </rfmt>
  <rfmt sheetId="1" sqref="B915" start="0" length="0">
    <dxf>
      <fill>
        <patternFill patternType="solid">
          <bgColor theme="0"/>
        </patternFill>
      </fill>
      <alignment vertical="center" readingOrder="0"/>
    </dxf>
  </rfmt>
  <rfmt sheetId="1" sqref="B916" start="0" length="0">
    <dxf>
      <fill>
        <patternFill patternType="solid">
          <bgColor theme="0"/>
        </patternFill>
      </fill>
      <alignment vertical="center" readingOrder="0"/>
    </dxf>
  </rfmt>
  <rfmt sheetId="1" sqref="B917" start="0" length="0">
    <dxf>
      <fill>
        <patternFill patternType="solid">
          <bgColor theme="0"/>
        </patternFill>
      </fill>
      <alignment vertical="center" readingOrder="0"/>
    </dxf>
  </rfmt>
  <rcc rId="896" sId="1">
    <nc r="B913" t="inlineStr">
      <is>
        <t>907</t>
      </is>
    </nc>
  </rcc>
  <rcc rId="897" sId="1">
    <nc r="B914" t="inlineStr">
      <is>
        <t>907</t>
      </is>
    </nc>
  </rcc>
  <rcc rId="898" sId="1">
    <nc r="B915" t="inlineStr">
      <is>
        <t>907</t>
      </is>
    </nc>
  </rcc>
  <rcc rId="899" sId="1">
    <nc r="B916" t="inlineStr">
      <is>
        <t>907</t>
      </is>
    </nc>
  </rcc>
  <rcc rId="900" sId="1">
    <nc r="B917" t="inlineStr">
      <is>
        <t>907</t>
      </is>
    </nc>
  </rcc>
  <rcc rId="901" sId="1">
    <nc r="F917">
      <f>15</f>
    </nc>
  </rcc>
  <rcc rId="902" sId="1">
    <nc r="G917" t="inlineStr">
      <is>
        <t>+15,0</t>
      </is>
    </nc>
  </rcc>
  <rcc rId="903" sId="1">
    <oc r="F812">
      <f>F813+F854+F903+F918+F944</f>
    </oc>
    <nc r="F812">
      <f>F813+F854+F903+F918+F944+F913</f>
    </nc>
  </rcc>
  <rcv guid="{A1566C65-087F-49E5-974A-3CF262DD7D96}" action="delete"/>
  <rdn rId="0" localSheetId="1" customView="1" name="Z_A1566C65_087F_49E5_974A_3CF262DD7D96_.wvu.PrintArea" hidden="1" oldHidden="1">
    <formula>январь!$A$6:$F$1577</formula>
    <oldFormula>январь!$A$6:$F$1577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январь!$A$10:$O$1578</formula>
    <oldFormula>январь!$A$10:$O$1578</oldFormula>
  </rdn>
  <rcv guid="{A1566C65-087F-49E5-974A-3CF262DD7D96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523" sId="1" numFmtId="4">
    <nc r="G1524">
      <v>-25</v>
    </nc>
  </rcc>
  <rfmt sheetId="1" sqref="G1524" start="0" length="2147483647">
    <dxf>
      <font>
        <color rgb="FF7030A0"/>
      </font>
    </dxf>
  </rfmt>
  <rcc rId="524" sId="1" numFmtId="4">
    <oc r="F1524">
      <v>25</v>
    </oc>
    <nc r="F1524">
      <f>25-25</f>
    </nc>
  </rcc>
  <rcc rId="525" sId="1">
    <oc r="B1406" t="inlineStr">
      <is>
        <t>902</t>
      </is>
    </oc>
    <nc r="B1406">
      <v>915</v>
    </nc>
  </rcc>
  <rcc rId="526" sId="1">
    <oc r="B1407" t="inlineStr">
      <is>
        <t>902</t>
      </is>
    </oc>
    <nc r="B1407">
      <v>915</v>
    </nc>
  </rcc>
  <rcc rId="527" sId="1">
    <oc r="B1408" t="inlineStr">
      <is>
        <t>902</t>
      </is>
    </oc>
    <nc r="B1408">
      <v>915</v>
    </nc>
  </rcc>
  <rcc rId="528" sId="1">
    <oc r="B1409" t="inlineStr">
      <is>
        <t>902</t>
      </is>
    </oc>
    <nc r="B1409">
      <v>915</v>
    </nc>
  </rcc>
  <rrc rId="529" sId="1" ref="A1459:XFD1464" action="insertRow"/>
  <rcc rId="530" sId="1" odxf="1" dxf="1">
    <nc r="A1459" t="inlineStr">
      <is>
        <t>ОБРАЗОВАНИЕ</t>
      </is>
    </nc>
    <odxf>
      <font>
        <b val="0"/>
        <sz val="12"/>
        <color theme="1"/>
      </font>
    </odxf>
    <ndxf>
      <font>
        <b/>
        <sz val="12"/>
        <color theme="1"/>
      </font>
    </ndxf>
  </rcc>
  <rcc rId="531" sId="1" odxf="1" dxf="1">
    <nc r="B1459">
      <v>915</v>
    </nc>
    <odxf>
      <font>
        <b val="0"/>
        <sz val="12"/>
        <color theme="1"/>
      </font>
    </odxf>
    <ndxf>
      <font>
        <b/>
        <sz val="12"/>
        <color theme="1"/>
      </font>
    </ndxf>
  </rcc>
  <rcc rId="532" sId="1" odxf="1" dxf="1">
    <nc r="C1459" t="inlineStr">
      <is>
        <t>0700</t>
      </is>
    </nc>
    <odxf>
      <font>
        <b val="0"/>
        <sz val="12"/>
        <color theme="1"/>
      </font>
      <numFmt numFmtId="30" formatCode="@"/>
      <fill>
        <patternFill patternType="none">
          <bgColor indexed="65"/>
        </patternFill>
      </fill>
    </odxf>
    <ndxf>
      <font>
        <b/>
        <sz val="12"/>
        <color theme="1"/>
      </font>
      <numFmt numFmtId="0" formatCode="General"/>
      <fill>
        <patternFill patternType="solid">
          <bgColor theme="0"/>
        </patternFill>
      </fill>
    </ndxf>
  </rcc>
  <rcc rId="533" sId="1" odxf="1" dxf="1">
    <nc r="D1459" t="inlineStr">
      <is>
        <t/>
      </is>
    </nc>
    <odxf>
      <font>
        <b val="0"/>
        <sz val="12"/>
        <color theme="1"/>
      </font>
    </odxf>
    <ndxf>
      <font>
        <b/>
        <sz val="12"/>
        <color theme="1"/>
      </font>
    </ndxf>
  </rcc>
  <rcc rId="534" sId="1" odxf="1" dxf="1">
    <nc r="E1459" t="inlineStr">
      <is>
        <t/>
      </is>
    </nc>
    <odxf>
      <font>
        <b val="0"/>
        <sz val="12"/>
        <color theme="1"/>
      </font>
    </odxf>
    <ndxf>
      <font>
        <b/>
        <sz val="12"/>
        <color theme="1"/>
      </font>
    </ndxf>
  </rcc>
  <rcc rId="535" sId="1" odxf="1" dxf="1">
    <nc r="F1459">
      <f>F1460</f>
    </nc>
    <odxf>
      <font>
        <b val="0"/>
        <sz val="12"/>
        <color auto="1"/>
      </font>
    </odxf>
    <ndxf>
      <font>
        <b/>
        <sz val="12"/>
        <color auto="1"/>
      </font>
    </ndxf>
  </rcc>
  <rfmt sheetId="1" sqref="G1459" start="0" length="0">
    <dxf>
      <font>
        <b val="0"/>
        <sz val="12"/>
        <color auto="1"/>
      </font>
      <numFmt numFmtId="165" formatCode="#,##0.0"/>
      <alignment vertical="top" readingOrder="0"/>
    </dxf>
  </rfmt>
  <rfmt sheetId="1" sqref="H1459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1459" start="0" length="0">
    <dxf>
      <fill>
        <patternFill patternType="none">
          <bgColor indexed="65"/>
        </patternFill>
      </fill>
    </dxf>
  </rfmt>
  <rfmt sheetId="1" sqref="J1459" start="0" length="0">
    <dxf>
      <fill>
        <patternFill patternType="none">
          <bgColor indexed="65"/>
        </patternFill>
      </fill>
    </dxf>
  </rfmt>
  <rfmt sheetId="1" sqref="K1459" start="0" length="0">
    <dxf>
      <fill>
        <patternFill patternType="none">
          <bgColor indexed="65"/>
        </patternFill>
      </fill>
    </dxf>
  </rfmt>
  <rfmt sheetId="1" sqref="L1459" start="0" length="0">
    <dxf>
      <fill>
        <patternFill patternType="none">
          <bgColor indexed="65"/>
        </patternFill>
      </fill>
    </dxf>
  </rfmt>
  <rfmt sheetId="1" sqref="M1459" start="0" length="0">
    <dxf>
      <fill>
        <patternFill patternType="none">
          <bgColor indexed="65"/>
        </patternFill>
      </fill>
    </dxf>
  </rfmt>
  <rfmt sheetId="1" sqref="N1459" start="0" length="0">
    <dxf>
      <fill>
        <patternFill patternType="none">
          <bgColor indexed="65"/>
        </patternFill>
      </fill>
    </dxf>
  </rfmt>
  <rfmt sheetId="1" sqref="O1459" start="0" length="0">
    <dxf>
      <fill>
        <patternFill patternType="none">
          <bgColor indexed="65"/>
        </patternFill>
      </fill>
    </dxf>
  </rfmt>
  <rfmt sheetId="1" sqref="P1459" start="0" length="0">
    <dxf>
      <fill>
        <patternFill patternType="none">
          <bgColor indexed="65"/>
        </patternFill>
      </fill>
    </dxf>
  </rfmt>
  <rfmt sheetId="1" sqref="A1459:XFD1459" start="0" length="0">
    <dxf>
      <fill>
        <patternFill patternType="none">
          <bgColor indexed="65"/>
        </patternFill>
      </fill>
    </dxf>
  </rfmt>
  <rcc rId="536" sId="1">
    <nc r="A1460" t="inlineStr">
      <is>
        <t>Профессиональная подготовка, переподготовка и повышение квалификации</t>
      </is>
    </nc>
  </rcc>
  <rcc rId="537" sId="1" odxf="1" dxf="1">
    <nc r="C1460" t="inlineStr">
      <is>
        <t>0705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38" sId="1">
    <nc r="F1460">
      <f>F1461</f>
    </nc>
  </rcc>
  <rfmt sheetId="1" sqref="G1460" start="0" length="0">
    <dxf>
      <font>
        <b val="0"/>
        <sz val="12"/>
        <color auto="1"/>
      </font>
      <numFmt numFmtId="3" formatCode="#,##0"/>
      <alignment vertical="top" readingOrder="0"/>
    </dxf>
  </rfmt>
  <rfmt sheetId="1" sqref="H1460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1460" start="0" length="0">
    <dxf>
      <fill>
        <patternFill patternType="none">
          <bgColor indexed="65"/>
        </patternFill>
      </fill>
    </dxf>
  </rfmt>
  <rfmt sheetId="1" sqref="J1460" start="0" length="0">
    <dxf>
      <fill>
        <patternFill patternType="none">
          <bgColor indexed="65"/>
        </patternFill>
      </fill>
    </dxf>
  </rfmt>
  <rfmt sheetId="1" sqref="K1460" start="0" length="0">
    <dxf>
      <fill>
        <patternFill patternType="none">
          <bgColor indexed="65"/>
        </patternFill>
      </fill>
    </dxf>
  </rfmt>
  <rfmt sheetId="1" sqref="L1460" start="0" length="0">
    <dxf>
      <fill>
        <patternFill patternType="none">
          <bgColor indexed="65"/>
        </patternFill>
      </fill>
    </dxf>
  </rfmt>
  <rfmt sheetId="1" sqref="M1460" start="0" length="0">
    <dxf>
      <fill>
        <patternFill patternType="none">
          <bgColor indexed="65"/>
        </patternFill>
      </fill>
    </dxf>
  </rfmt>
  <rfmt sheetId="1" sqref="N1460" start="0" length="0">
    <dxf>
      <fill>
        <patternFill patternType="none">
          <bgColor indexed="65"/>
        </patternFill>
      </fill>
    </dxf>
  </rfmt>
  <rfmt sheetId="1" sqref="O1460" start="0" length="0">
    <dxf>
      <fill>
        <patternFill patternType="none">
          <bgColor indexed="65"/>
        </patternFill>
      </fill>
    </dxf>
  </rfmt>
  <rfmt sheetId="1" sqref="P1460" start="0" length="0">
    <dxf>
      <fill>
        <patternFill patternType="none">
          <bgColor indexed="65"/>
        </patternFill>
      </fill>
    </dxf>
  </rfmt>
  <rfmt sheetId="1" sqref="A1460:XFD1460" start="0" length="0">
    <dxf>
      <fill>
        <patternFill patternType="none">
          <bgColor indexed="65"/>
        </patternFill>
      </fill>
    </dxf>
  </rfmt>
  <rcc rId="539" sId="1">
    <nc r="A1461" t="inlineStr">
      <is>
        <t>Муниципальная программа "Реформирование и развитие системы муниципальной службы в администрации города Южно-Сахалинска (2015-2020 годы)"</t>
      </is>
    </nc>
  </rcc>
  <rcc rId="540" sId="1" odxf="1" dxf="1">
    <nc r="C1461" t="inlineStr">
      <is>
        <t>0705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41" sId="1">
    <nc r="D1461" t="inlineStr">
      <is>
        <t>0300000000</t>
      </is>
    </nc>
  </rcc>
  <rcc rId="542" sId="1">
    <nc r="E1461" t="inlineStr">
      <is>
        <t/>
      </is>
    </nc>
  </rcc>
  <rcc rId="543" sId="1">
    <nc r="F1461">
      <f>F1462</f>
    </nc>
  </rcc>
  <rfmt sheetId="1" sqref="G1461" start="0" length="0">
    <dxf>
      <font>
        <b val="0"/>
        <sz val="12"/>
        <color auto="1"/>
      </font>
      <numFmt numFmtId="3" formatCode="#,##0"/>
      <alignment vertical="top" readingOrder="0"/>
    </dxf>
  </rfmt>
  <rfmt sheetId="1" sqref="H1461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1461" start="0" length="0">
    <dxf>
      <fill>
        <patternFill patternType="none">
          <bgColor indexed="65"/>
        </patternFill>
      </fill>
    </dxf>
  </rfmt>
  <rfmt sheetId="1" sqref="J1461" start="0" length="0">
    <dxf>
      <fill>
        <patternFill patternType="none">
          <bgColor indexed="65"/>
        </patternFill>
      </fill>
    </dxf>
  </rfmt>
  <rfmt sheetId="1" sqref="K1461" start="0" length="0">
    <dxf>
      <fill>
        <patternFill patternType="none">
          <bgColor indexed="65"/>
        </patternFill>
      </fill>
    </dxf>
  </rfmt>
  <rfmt sheetId="1" sqref="L1461" start="0" length="0">
    <dxf>
      <fill>
        <patternFill patternType="none">
          <bgColor indexed="65"/>
        </patternFill>
      </fill>
    </dxf>
  </rfmt>
  <rfmt sheetId="1" sqref="M1461" start="0" length="0">
    <dxf>
      <fill>
        <patternFill patternType="none">
          <bgColor indexed="65"/>
        </patternFill>
      </fill>
    </dxf>
  </rfmt>
  <rfmt sheetId="1" sqref="N1461" start="0" length="0">
    <dxf>
      <fill>
        <patternFill patternType="none">
          <bgColor indexed="65"/>
        </patternFill>
      </fill>
    </dxf>
  </rfmt>
  <rfmt sheetId="1" sqref="O1461" start="0" length="0">
    <dxf>
      <fill>
        <patternFill patternType="none">
          <bgColor indexed="65"/>
        </patternFill>
      </fill>
    </dxf>
  </rfmt>
  <rfmt sheetId="1" sqref="P1461" start="0" length="0">
    <dxf>
      <fill>
        <patternFill patternType="none">
          <bgColor indexed="65"/>
        </patternFill>
      </fill>
    </dxf>
  </rfmt>
  <rfmt sheetId="1" sqref="A1461:XFD1461" start="0" length="0">
    <dxf>
      <fill>
        <patternFill patternType="none">
          <bgColor indexed="65"/>
        </patternFill>
      </fill>
    </dxf>
  </rfmt>
  <rcc rId="544" sId="1">
    <nc r="A1462" t="inlineStr">
      <is>
        <t>Дополнительное образование муниципальных служащих</t>
      </is>
    </nc>
  </rcc>
  <rcc rId="545" sId="1" odxf="1" dxf="1">
    <nc r="C1462" t="inlineStr">
      <is>
        <t>0705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46" sId="1">
    <nc r="D1462" t="inlineStr">
      <is>
        <t>0300200000</t>
      </is>
    </nc>
  </rcc>
  <rcc rId="547" sId="1">
    <nc r="E1462" t="inlineStr">
      <is>
        <t/>
      </is>
    </nc>
  </rcc>
  <rcc rId="548" sId="1">
    <nc r="F1462">
      <f>F1463</f>
    </nc>
  </rcc>
  <rfmt sheetId="1" sqref="G1462" start="0" length="0">
    <dxf>
      <font>
        <b val="0"/>
        <sz val="12"/>
        <color auto="1"/>
      </font>
      <numFmt numFmtId="165" formatCode="#,##0.0"/>
      <alignment vertical="top" readingOrder="0"/>
    </dxf>
  </rfmt>
  <rfmt sheetId="1" sqref="H1462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1462" start="0" length="0">
    <dxf>
      <fill>
        <patternFill patternType="none">
          <bgColor indexed="65"/>
        </patternFill>
      </fill>
    </dxf>
  </rfmt>
  <rfmt sheetId="1" sqref="J1462" start="0" length="0">
    <dxf>
      <fill>
        <patternFill patternType="none">
          <bgColor indexed="65"/>
        </patternFill>
      </fill>
    </dxf>
  </rfmt>
  <rfmt sheetId="1" sqref="K1462" start="0" length="0">
    <dxf>
      <fill>
        <patternFill patternType="none">
          <bgColor indexed="65"/>
        </patternFill>
      </fill>
    </dxf>
  </rfmt>
  <rfmt sheetId="1" sqref="L1462" start="0" length="0">
    <dxf>
      <fill>
        <patternFill patternType="none">
          <bgColor indexed="65"/>
        </patternFill>
      </fill>
    </dxf>
  </rfmt>
  <rfmt sheetId="1" sqref="M1462" start="0" length="0">
    <dxf>
      <fill>
        <patternFill patternType="none">
          <bgColor indexed="65"/>
        </patternFill>
      </fill>
    </dxf>
  </rfmt>
  <rfmt sheetId="1" sqref="N1462" start="0" length="0">
    <dxf>
      <fill>
        <patternFill patternType="none">
          <bgColor indexed="65"/>
        </patternFill>
      </fill>
    </dxf>
  </rfmt>
  <rfmt sheetId="1" sqref="O1462" start="0" length="0">
    <dxf>
      <fill>
        <patternFill patternType="none">
          <bgColor indexed="65"/>
        </patternFill>
      </fill>
    </dxf>
  </rfmt>
  <rfmt sheetId="1" sqref="P1462" start="0" length="0">
    <dxf>
      <fill>
        <patternFill patternType="none">
          <bgColor indexed="65"/>
        </patternFill>
      </fill>
    </dxf>
  </rfmt>
  <rfmt sheetId="1" sqref="A1462:XFD1462" start="0" length="0">
    <dxf>
      <fill>
        <patternFill patternType="none">
          <bgColor indexed="65"/>
        </patternFill>
      </fill>
    </dxf>
  </rfmt>
  <rcc rId="549" sId="1" odxf="1" dxf="1">
    <nc r="A1463" t="inlineStr">
      <is>
        <t>Дополнительное профессиональное образование муниципальных служащих</t>
      </is>
    </nc>
    <odxf>
      <alignment horizontal="left" vertical="top" readingOrder="0"/>
    </odxf>
    <ndxf>
      <alignment horizontal="general" vertical="center" readingOrder="0"/>
    </ndxf>
  </rcc>
  <rcc rId="550" sId="1" odxf="1" dxf="1">
    <nc r="C1463" t="inlineStr">
      <is>
        <t>0705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51" sId="1">
    <nc r="D1463" t="inlineStr">
      <is>
        <t>0300220400</t>
      </is>
    </nc>
  </rcc>
  <rcc rId="552" sId="1">
    <nc r="F1463">
      <f>F1464</f>
    </nc>
  </rcc>
  <rfmt sheetId="1" sqref="G1463" start="0" length="0">
    <dxf>
      <font>
        <sz val="12"/>
        <color rgb="FF7030A0"/>
      </font>
      <alignment vertical="top" readingOrder="0"/>
    </dxf>
  </rfmt>
  <rfmt sheetId="1" sqref="H1463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1463" start="0" length="0">
    <dxf>
      <fill>
        <patternFill patternType="none">
          <bgColor indexed="65"/>
        </patternFill>
      </fill>
    </dxf>
  </rfmt>
  <rfmt sheetId="1" sqref="J1463" start="0" length="0">
    <dxf>
      <fill>
        <patternFill patternType="none">
          <bgColor indexed="65"/>
        </patternFill>
      </fill>
    </dxf>
  </rfmt>
  <rfmt sheetId="1" sqref="K1463" start="0" length="0">
    <dxf>
      <fill>
        <patternFill patternType="none">
          <bgColor indexed="65"/>
        </patternFill>
      </fill>
    </dxf>
  </rfmt>
  <rfmt sheetId="1" sqref="L1463" start="0" length="0">
    <dxf>
      <fill>
        <patternFill patternType="none">
          <bgColor indexed="65"/>
        </patternFill>
      </fill>
    </dxf>
  </rfmt>
  <rfmt sheetId="1" sqref="M1463" start="0" length="0">
    <dxf>
      <fill>
        <patternFill patternType="none">
          <bgColor indexed="65"/>
        </patternFill>
      </fill>
    </dxf>
  </rfmt>
  <rfmt sheetId="1" sqref="N1463" start="0" length="0">
    <dxf>
      <fill>
        <patternFill patternType="none">
          <bgColor indexed="65"/>
        </patternFill>
      </fill>
    </dxf>
  </rfmt>
  <rfmt sheetId="1" sqref="O1463" start="0" length="0">
    <dxf>
      <fill>
        <patternFill patternType="none">
          <bgColor indexed="65"/>
        </patternFill>
      </fill>
    </dxf>
  </rfmt>
  <rfmt sheetId="1" sqref="P1463" start="0" length="0">
    <dxf>
      <fill>
        <patternFill patternType="none">
          <bgColor indexed="65"/>
        </patternFill>
      </fill>
    </dxf>
  </rfmt>
  <rfmt sheetId="1" sqref="A1463:XFD1463" start="0" length="0">
    <dxf>
      <fill>
        <patternFill patternType="none">
          <bgColor indexed="65"/>
        </patternFill>
      </fill>
    </dxf>
  </rfmt>
  <rcc rId="553" sId="1" odxf="1" dxf="1">
    <nc r="A1464" t="inlineStr">
      <is>
        <t>Иные закупки товаров, работ и услуг для обеспечения государственных (муниципальных) нужд</t>
      </is>
    </nc>
    <odxf>
      <font>
        <sz val="12"/>
        <color theme="1"/>
      </font>
    </odxf>
    <ndxf>
      <font>
        <sz val="12"/>
        <color auto="1"/>
      </font>
    </ndxf>
  </rcc>
  <rcc rId="554" sId="1" odxf="1" dxf="1">
    <nc r="C1464" t="inlineStr">
      <is>
        <t>0705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55" sId="1">
    <nc r="D1464" t="inlineStr">
      <is>
        <t>0300220400</t>
      </is>
    </nc>
  </rcc>
  <rcc rId="556" sId="1">
    <nc r="E1464">
      <v>240</v>
    </nc>
  </rcc>
  <rcc rId="557" sId="1">
    <nc r="F1464">
      <f>25</f>
    </nc>
  </rcc>
  <rcc rId="558" sId="1" odxf="1" dxf="1">
    <nc r="G1464" t="inlineStr">
      <is>
        <t>+25,0</t>
      </is>
    </nc>
    <odxf>
      <font>
        <color rgb="FF7030A0"/>
      </font>
      <alignment vertical="center" readingOrder="0"/>
    </odxf>
    <ndxf>
      <font>
        <sz val="12"/>
        <color rgb="FF7030A0"/>
      </font>
      <alignment vertical="top" readingOrder="0"/>
    </ndxf>
  </rcc>
  <rfmt sheetId="1" sqref="H1464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1464" start="0" length="0">
    <dxf>
      <fill>
        <patternFill patternType="none">
          <bgColor indexed="65"/>
        </patternFill>
      </fill>
    </dxf>
  </rfmt>
  <rfmt sheetId="1" sqref="J1464" start="0" length="0">
    <dxf>
      <fill>
        <patternFill patternType="none">
          <bgColor indexed="65"/>
        </patternFill>
      </fill>
    </dxf>
  </rfmt>
  <rfmt sheetId="1" sqref="K1464" start="0" length="0">
    <dxf>
      <fill>
        <patternFill patternType="none">
          <bgColor indexed="65"/>
        </patternFill>
      </fill>
    </dxf>
  </rfmt>
  <rfmt sheetId="1" sqref="L1464" start="0" length="0">
    <dxf>
      <fill>
        <patternFill patternType="none">
          <bgColor indexed="65"/>
        </patternFill>
      </fill>
    </dxf>
  </rfmt>
  <rfmt sheetId="1" sqref="M1464" start="0" length="0">
    <dxf>
      <fill>
        <patternFill patternType="none">
          <bgColor indexed="65"/>
        </patternFill>
      </fill>
    </dxf>
  </rfmt>
  <rfmt sheetId="1" sqref="N1464" start="0" length="0">
    <dxf>
      <fill>
        <patternFill patternType="none">
          <bgColor indexed="65"/>
        </patternFill>
      </fill>
    </dxf>
  </rfmt>
  <rfmt sheetId="1" sqref="O1464" start="0" length="0">
    <dxf>
      <fill>
        <patternFill patternType="none">
          <bgColor indexed="65"/>
        </patternFill>
      </fill>
    </dxf>
  </rfmt>
  <rfmt sheetId="1" sqref="P1464" start="0" length="0">
    <dxf>
      <fill>
        <patternFill patternType="none">
          <bgColor indexed="65"/>
        </patternFill>
      </fill>
    </dxf>
  </rfmt>
  <rfmt sheetId="1" sqref="A1464:XFD1464" start="0" length="0">
    <dxf>
      <fill>
        <patternFill patternType="none">
          <bgColor indexed="65"/>
        </patternFill>
      </fill>
    </dxf>
  </rfmt>
  <rrc rId="559" sId="1" ref="A1459:XFD1459" action="deleteRow">
    <rfmt sheetId="1" xfDxf="1" sqref="A1459:XFD1459" start="0" length="0">
      <dxf>
        <font>
          <color auto="1"/>
        </font>
      </dxf>
    </rfmt>
    <rcc rId="0" sId="1" dxf="1">
      <nc r="A1459" t="inlineStr">
        <is>
          <t>ОБРАЗОВАНИЕ</t>
        </is>
      </nc>
      <ndxf>
        <font>
          <b/>
          <sz val="12"/>
          <color theme="1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9">
        <v>915</v>
      </nc>
      <ndxf>
        <font>
          <b/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9" t="inlineStr">
        <is>
          <t>0700</t>
        </is>
      </nc>
      <ndxf>
        <font>
          <b/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9" t="inlineStr">
        <is>
          <t/>
        </is>
      </nc>
      <ndxf>
        <font>
          <b/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9" t="inlineStr">
        <is>
          <t/>
        </is>
      </nc>
      <ndxf>
        <font>
          <b/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59">
        <f>F1460</f>
      </nc>
      <ndxf>
        <font>
          <b/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59" start="0" length="0">
      <dxf>
        <font>
          <sz val="12"/>
          <color auto="1"/>
        </font>
        <numFmt numFmtId="165" formatCode="#,##0.0"/>
        <alignment horizontal="left" readingOrder="0"/>
      </dxf>
    </rfmt>
    <rfmt sheetId="1" sqref="H1459" start="0" length="0">
      <dxf>
        <numFmt numFmtId="4" formatCode="#,##0.00"/>
      </dxf>
    </rfmt>
  </rrc>
  <rcc rId="560" sId="1">
    <oc r="F1446">
      <f>F1447+F1464</f>
    </oc>
    <nc r="F1446">
      <f>F1447+F1464+F1459</f>
    </nc>
  </rcc>
  <rfmt sheetId="1" sqref="B1458" start="0" length="0">
    <dxf>
      <fill>
        <patternFill patternType="none">
          <bgColor indexed="65"/>
        </patternFill>
      </fill>
    </dxf>
  </rfmt>
  <rfmt sheetId="1" sqref="B1459" start="0" length="0">
    <dxf>
      <fill>
        <patternFill patternType="none">
          <bgColor indexed="65"/>
        </patternFill>
      </fill>
    </dxf>
  </rfmt>
  <rfmt sheetId="1" sqref="B1460" start="0" length="0">
    <dxf>
      <fill>
        <patternFill patternType="none">
          <bgColor indexed="65"/>
        </patternFill>
      </fill>
    </dxf>
  </rfmt>
  <rfmt sheetId="1" sqref="B1461" start="0" length="0">
    <dxf>
      <fill>
        <patternFill patternType="none">
          <bgColor indexed="65"/>
        </patternFill>
      </fill>
    </dxf>
  </rfmt>
  <rfmt sheetId="1" sqref="B1462" start="0" length="0">
    <dxf>
      <fill>
        <patternFill patternType="none">
          <bgColor indexed="65"/>
        </patternFill>
      </fill>
    </dxf>
  </rfmt>
  <rfmt sheetId="1" sqref="B1463" start="0" length="0">
    <dxf>
      <fill>
        <patternFill patternType="none">
          <bgColor indexed="65"/>
        </patternFill>
      </fill>
    </dxf>
  </rfmt>
  <rcc rId="561" sId="1">
    <nc r="B1459" t="inlineStr">
      <is>
        <t>918</t>
      </is>
    </nc>
  </rcc>
  <rcc rId="562" sId="1">
    <nc r="B1460" t="inlineStr">
      <is>
        <t>918</t>
      </is>
    </nc>
  </rcc>
  <rcc rId="563" sId="1">
    <nc r="B1461" t="inlineStr">
      <is>
        <t>918</t>
      </is>
    </nc>
  </rcc>
  <rcc rId="564" sId="1">
    <nc r="B1462" t="inlineStr">
      <is>
        <t>918</t>
      </is>
    </nc>
  </rcc>
  <rcc rId="565" sId="1">
    <nc r="B1463" t="inlineStr">
      <is>
        <t>918</t>
      </is>
    </nc>
  </rcc>
  <rcv guid="{A1566C65-087F-49E5-974A-3CF262DD7D96}" action="delete"/>
  <rdn rId="0" localSheetId="1" customView="1" name="Z_A1566C65_087F_49E5_974A_3CF262DD7D96_.wvu.PrintArea" hidden="1" oldHidden="1">
    <formula>' '!$A$6:$F$1546</formula>
    <oldFormula>' '!$A$6:$F$1546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'!$A$10:$O$1547</formula>
    <oldFormula>' '!$A$10:$O$1547</oldFormula>
  </rdn>
  <rcv guid="{A1566C65-087F-49E5-974A-3CF262DD7D96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1897" sId="1">
    <oc r="A536" t="inlineStr">
      <is>
        <t>Субсидия муниципальным образованиям Сахалинской области на обеспечение населения Сахалинской оболасти качественным жильём</t>
      </is>
    </oc>
    <nc r="A536" t="inlineStr">
      <is>
        <t>Субсидия муниципальным образованиям Сахалинской области на обеспечение населения Сахалинской области качественным жильём</t>
      </is>
    </nc>
  </rcc>
  <rcv guid="{A1566C65-087F-49E5-974A-3CF262DD7D96}" action="delete"/>
  <rdn rId="0" localSheetId="1" customView="1" name="Z_A1566C65_087F_49E5_974A_3CF262DD7D96_.wvu.PrintArea" hidden="1" oldHidden="1">
    <formula>январь!$A$6:$F$1646</formula>
    <oldFormula>январь!$A$6:$F$1646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январь!$A$10:$O$1647</formula>
    <oldFormula>январь!$A$10:$O$1647</oldFormula>
  </rdn>
  <rcv guid="{A1566C65-087F-49E5-974A-3CF262DD7D96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112.xml><?xml version="1.0" encoding="utf-8"?>
<revisions xmlns="http://schemas.openxmlformats.org/spreadsheetml/2006/main" xmlns:r="http://schemas.openxmlformats.org/officeDocument/2006/relationships">
  <rcc rId="869" sId="1">
    <nc r="G1000" t="inlineStr">
      <is>
        <t>-15,0</t>
      </is>
    </nc>
  </rcc>
  <rcc rId="870" sId="1">
    <oc r="F1000">
      <f>15</f>
    </oc>
    <nc r="F1000">
      <f>15-15</f>
    </nc>
  </rcc>
  <rcv guid="{A1566C65-087F-49E5-974A-3CF262DD7D96}" action="delete"/>
  <rdn rId="0" localSheetId="1" customView="1" name="Z_A1566C65_087F_49E5_974A_3CF262DD7D96_.wvu.PrintArea" hidden="1" oldHidden="1">
    <formula>январь!$A$6:$F$1572</formula>
    <oldFormula>январь!$A$6:$F$1572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январь!$A$10:$O$1573</formula>
    <oldFormula>январь!$A$10:$O$1573</oldFormula>
  </rdn>
  <rcv guid="{A1566C65-087F-49E5-974A-3CF262DD7D96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569" sId="1">
    <oc r="B1848">
      <f>F466+F1408+F731</f>
    </oc>
    <nc r="B1848">
      <f>F466+F1408+F731+F1462</f>
    </nc>
  </rcc>
  <rcv guid="{A1566C65-087F-49E5-974A-3CF262DD7D96}" action="delete"/>
  <rdn rId="0" localSheetId="1" customView="1" name="Z_A1566C65_087F_49E5_974A_3CF262DD7D96_.wvu.PrintArea" hidden="1" oldHidden="1">
    <formula>' '!$A$6:$F$1546</formula>
    <oldFormula>' '!$A$6:$F$1546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'!$A$10:$O$1547</formula>
    <oldFormula>' '!$A$10:$O$1547</oldFormula>
  </rdn>
  <rcv guid="{A1566C65-087F-49E5-974A-3CF262DD7D96}" action="add"/>
</revisions>
</file>

<file path=xl/revisions/revisionLog1121.xml><?xml version="1.0" encoding="utf-8"?>
<revisions xmlns="http://schemas.openxmlformats.org/spreadsheetml/2006/main" xmlns:r="http://schemas.openxmlformats.org/officeDocument/2006/relationships">
  <rcc rId="114" sId="1">
    <nc r="G100" t="inlineStr">
      <is>
        <t>-32,0</t>
      </is>
    </nc>
  </rcc>
  <rfmt sheetId="1" sqref="G100" start="0" length="2147483647">
    <dxf>
      <font>
        <color rgb="FF7030A0"/>
      </font>
    </dxf>
  </rfmt>
  <rcv guid="{A1566C65-087F-49E5-974A-3CF262DD7D96}" action="delete"/>
  <rdn rId="0" localSheetId="1" customView="1" name="Z_A1566C65_087F_49E5_974A_3CF262DD7D96_.wvu.PrintArea" hidden="1" oldHidden="1">
    <formula>' '!$A$6:$F$1506</formula>
    <oldFormula>' '!$A$6:$F$1506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'!$A$10:$O$1507</formula>
    <oldFormula>' '!$A$10:$O$1507</oldFormula>
  </rdn>
  <rcv guid="{A1566C65-087F-49E5-974A-3CF262DD7D96}" action="add"/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6" sId="1" numFmtId="4">
    <nc r="G647">
      <v>285</v>
    </nc>
  </rcc>
  <rfmt sheetId="1" sqref="G647" start="0" length="2147483647">
    <dxf>
      <font>
        <color theme="9" tint="-0.499984740745262"/>
      </font>
    </dxf>
  </rfmt>
  <rfmt sheetId="1" sqref="G647" start="0" length="2147483647">
    <dxf>
      <font>
        <b/>
      </font>
    </dxf>
  </rfmt>
  <rcc rId="1467" sId="1" numFmtId="4">
    <oc r="F647">
      <v>20291</v>
    </oc>
    <nc r="F647">
      <f>20291+285</f>
    </nc>
  </rcc>
  <rcv guid="{8641C9CE-CF0B-47B3-96C3-90D4839F015C}" action="delete"/>
  <rdn rId="0" localSheetId="1" customView="1" name="Z_8641C9CE_CF0B_47B3_96C3_90D4839F015C_.wvu.PrintArea" hidden="1" oldHidden="1">
    <formula>январь!$A$6:$F$1623</formula>
    <oldFormula>январь!$A$6:$F$1623</oldFormula>
  </rdn>
  <rdn rId="0" localSheetId="1" customView="1" name="Z_8641C9CE_CF0B_47B3_96C3_90D4839F015C_.wvu.PrintTitles" hidden="1" oldHidden="1">
    <formula>январь!$9:$10</formula>
    <oldFormula>январь!$9:$10</oldFormula>
  </rdn>
  <rdn rId="0" localSheetId="1" customView="1" name="Z_8641C9CE_CF0B_47B3_96C3_90D4839F015C_.wvu.FilterData" hidden="1" oldHidden="1">
    <formula>январь!$A$10:$O$1624</formula>
    <oldFormula>январь!$A$10:$O$1624</oldFormula>
  </rdn>
  <rcv guid="{8641C9CE-CF0B-47B3-96C3-90D4839F015C}" action="add"/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1" sId="1">
    <nc r="G146" t="inlineStr">
      <is>
        <t>6098,5</t>
      </is>
    </nc>
  </rcc>
  <rcc rId="1472" sId="1" numFmtId="4">
    <oc r="F146">
      <v>228388.2</v>
    </oc>
    <nc r="F146">
      <f>228388.2+6098.5</f>
    </nc>
  </rcc>
  <rcv guid="{8641C9CE-CF0B-47B3-96C3-90D4839F015C}" action="delete"/>
  <rdn rId="0" localSheetId="1" customView="1" name="Z_8641C9CE_CF0B_47B3_96C3_90D4839F015C_.wvu.PrintArea" hidden="1" oldHidden="1">
    <formula>январь!$A$6:$F$1621</formula>
    <oldFormula>январь!$A$6:$F$1623</oldFormula>
  </rdn>
  <rdn rId="0" localSheetId="1" customView="1" name="Z_8641C9CE_CF0B_47B3_96C3_90D4839F015C_.wvu.PrintTitles" hidden="1" oldHidden="1">
    <formula>январь!$9:$10</formula>
    <oldFormula>январь!$9:$10</oldFormula>
  </rdn>
  <rdn rId="0" localSheetId="1" customView="1" name="Z_8641C9CE_CF0B_47B3_96C3_90D4839F015C_.wvu.FilterData" hidden="1" oldHidden="1">
    <formula>январь!$A$10:$O$1624</formula>
    <oldFormula>январь!$A$10:$O$1624</oldFormula>
  </rdn>
  <rcv guid="{8641C9CE-CF0B-47B3-96C3-90D4839F015C}" action="add"/>
</revisions>
</file>

<file path=xl/revisions/revisionLog115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январь!$A$6:$F$1646</formula>
    <oldFormula>январь!$A$6:$F$1646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январь!$A$10:$O$1647</formula>
    <oldFormula>январь!$A$10:$O$1647</oldFormula>
  </rdn>
  <rcv guid="{A1566C65-087F-49E5-974A-3CF262DD7D96}" action="add"/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6" sId="1">
    <nc r="G153" t="inlineStr">
      <is>
        <t>777,2</t>
      </is>
    </nc>
  </rcc>
  <rcc rId="1477" sId="1" numFmtId="4">
    <oc r="F153">
      <v>41355.800000000003</v>
    </oc>
    <nc r="F153">
      <f>41355.8+777.2</f>
    </nc>
  </rcc>
  <rfmt sheetId="1" sqref="G153" start="0" length="2147483647">
    <dxf>
      <font>
        <color theme="9" tint="-0.499984740745262"/>
      </font>
    </dxf>
  </rfmt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8" sId="1" numFmtId="4">
    <nc r="G1562">
      <v>168.7</v>
    </nc>
  </rcc>
  <rfmt sheetId="1" sqref="G1562" start="0" length="2147483647">
    <dxf>
      <font>
        <color theme="9" tint="-0.499984740745262"/>
      </font>
    </dxf>
  </rfmt>
  <rcc rId="1479" sId="1" numFmtId="4">
    <oc r="F1562">
      <v>31290</v>
    </oc>
    <nc r="F1562">
      <f>31290+168.7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3" sId="1" numFmtId="4">
    <oc r="F1590">
      <v>26386.6</v>
    </oc>
    <nc r="F1590">
      <f>26386.6+12354.6</f>
    </nc>
  </rcc>
  <rcc rId="1484" sId="1" numFmtId="4">
    <nc r="G1590">
      <v>12354.6</v>
    </nc>
  </rcc>
  <rrc rId="1485" sId="1" ref="A1598:XFD1598" action="insertRow"/>
  <rrc rId="1486" sId="1" ref="A1598:XFD1598" action="insertRow"/>
  <rcc rId="1487" sId="1">
    <nc r="B1598">
      <v>918</v>
    </nc>
  </rcc>
  <rcc rId="1488" sId="1">
    <nc r="C1598" t="inlineStr">
      <is>
        <t>1102</t>
      </is>
    </nc>
  </rcc>
  <rcc rId="1489" sId="1">
    <nc r="B1599">
      <v>918</v>
    </nc>
  </rcc>
  <rcc rId="1490" sId="1">
    <nc r="E1599">
      <v>610</v>
    </nc>
  </rcc>
  <rcc rId="1491" sId="1">
    <nc r="D1598" t="inlineStr">
      <is>
        <t>1700300590</t>
      </is>
    </nc>
  </rcc>
  <rcc rId="1492" sId="1">
    <nc r="C1599" t="inlineStr">
      <is>
        <t>1102</t>
      </is>
    </nc>
  </rcc>
  <rcc rId="1493" sId="1">
    <nc r="D1599" t="inlineStr">
      <is>
        <t>1700300590</t>
      </is>
    </nc>
  </rcc>
  <rcc rId="1494" sId="1" odxf="1" dxf="1">
    <nc r="A1599" t="inlineStr">
      <is>
        <t xml:space="preserve">Субсидии бюджетным учреждениям </t>
      </is>
    </nc>
    <odxf>
      <font>
        <sz val="12"/>
        <color auto="1"/>
      </font>
    </odxf>
    <ndxf>
      <font>
        <sz val="12"/>
        <color theme="1"/>
      </font>
    </ndxf>
  </rcc>
  <rfmt sheetId="1" sqref="D1599:F1599">
    <dxf>
      <fill>
        <patternFill>
          <bgColor rgb="FFFFFF00"/>
        </patternFill>
      </fill>
    </dxf>
  </rfmt>
  <rcc rId="1495" sId="1" xfDxf="1" dxf="1">
    <nc r="A1598" t="inlineStr">
      <is>
        <t>Расходы на обеспечение деятельности (оказание услуг) муниципальных учреждений</t>
      </is>
    </nc>
    <ndxf>
      <font>
        <sz val="12"/>
        <color auto="1"/>
      </font>
      <fill>
        <patternFill patternType="solid">
          <bgColor theme="0"/>
        </patternFill>
      </fill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6" sId="1">
    <oc r="F1597">
      <f>F1600</f>
    </oc>
    <nc r="F1597">
      <f>F1600+F1598</f>
    </nc>
  </rcc>
  <rcc rId="1497" sId="1">
    <nc r="F1598">
      <f>F1599</f>
    </nc>
  </rcc>
  <rcv guid="{A6AD508C-AEED-43C7-976B-DD33C28CD830}" action="delete"/>
  <rdn rId="0" localSheetId="1" customView="1" name="Z_A6AD508C_AEED_43C7_976B_DD33C28CD830_.wvu.PrintArea" hidden="1" oldHidden="1">
    <formula>январь!$A$6:$F$1625</formula>
    <oldFormula>январь!$A$6:$F$1625</oldFormula>
  </rdn>
  <rdn rId="0" localSheetId="1" customView="1" name="Z_A6AD508C_AEED_43C7_976B_DD33C28CD830_.wvu.PrintTitles" hidden="1" oldHidden="1">
    <formula>январь!$9:$10</formula>
    <oldFormula>январь!$9:$10</oldFormula>
  </rdn>
  <rdn rId="0" localSheetId="1" customView="1" name="Z_A6AD508C_AEED_43C7_976B_DD33C28CD830_.wvu.FilterData" hidden="1" oldHidden="1">
    <formula>январь!$A$10:$F$1626</formula>
    <oldFormula>январь!$A$10:$F$1626</oldFormula>
  </rdn>
  <rcv guid="{A6AD508C-AEED-43C7-976B-DD33C28CD830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1" sId="1">
    <oc r="F596">
      <f>162465.6+F597+F598</f>
    </oc>
    <nc r="F596">
      <f>162465.6</f>
    </nc>
  </rcc>
  <rrc rId="1502" sId="1" ref="A598:XFD598" action="insertRow"/>
  <rcc rId="1503" sId="1">
    <oc r="A599" t="inlineStr">
      <is>
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  </is>
    </oc>
    <nc r="A599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</rcc>
  <rcc rId="1504" sId="1">
    <nc r="B598">
      <v>902</v>
    </nc>
  </rcc>
  <rcc rId="1505" sId="1">
    <nc r="C598">
      <v>1004</v>
    </nc>
  </rcc>
  <rcc rId="1506" sId="1">
    <nc r="D598" t="inlineStr">
      <is>
        <t>01303R082Ф</t>
      </is>
    </nc>
  </rcc>
  <rcc rId="1507" sId="1">
    <nc r="E598">
      <v>412</v>
    </nc>
  </rcc>
  <rcc rId="1508" sId="1" numFmtId="4">
    <nc r="F598">
      <v>5389.8</v>
    </nc>
  </rcc>
  <rcc rId="1509" sId="1">
    <oc r="E597">
      <v>412</v>
    </oc>
    <nc r="E597"/>
  </rcc>
  <rcc rId="1510" sId="1">
    <nc r="A598" t="inlineStr">
      <is>
        <t>Бюджетные инвестиции на приобретение объектов недвижимого имущества в государственную (муниципальную) собственность</t>
      </is>
    </nc>
  </rcc>
  <rrc rId="1511" sId="1" ref="A599:XFD599" action="insertRow"/>
  <rcc rId="1512" sId="1">
    <nc r="A599" t="inlineStr">
      <is>
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  </is>
    </nc>
  </rcc>
  <rcc rId="1513" sId="1">
    <nc r="B599">
      <v>902</v>
    </nc>
  </rcc>
  <rcc rId="1514" sId="1">
    <nc r="C599">
      <v>1004</v>
    </nc>
  </rcc>
  <rcc rId="1515" sId="1">
    <nc r="D599" t="inlineStr">
      <is>
        <t>01303R082С</t>
      </is>
    </nc>
  </rcc>
  <rcc rId="1516" sId="1" numFmtId="4">
    <nc r="F599">
      <v>7144.6</v>
    </nc>
  </rcc>
  <rcc rId="1517" sId="1">
    <oc r="F595">
      <f>F596</f>
    </oc>
    <nc r="F595">
      <f>F596+F598+F600</f>
    </nc>
  </rcc>
  <rrc rId="1518" sId="1" ref="A2074:XFD2074" action="insertRow"/>
  <rrc rId="1519" sId="1" ref="A2074:XFD2074" action="insertRow"/>
  <rfmt sheetId="1" sqref="A2074" start="0" length="0">
    <dxf>
      <font>
        <sz val="12"/>
        <color theme="1"/>
      </font>
      <fill>
        <patternFill patternType="solid">
          <bgColor theme="0"/>
        </patternFill>
      </fill>
      <alignment horizontal="center" readingOrder="0"/>
    </dxf>
  </rfmt>
  <rfmt sheetId="1" sqref="A2074">
    <dxf>
      <alignment horizontal="left" readingOrder="0"/>
    </dxf>
  </rfmt>
  <rfmt sheetId="1" sqref="A2074">
    <dxf>
      <alignment horizontal="center" readingOrder="0"/>
    </dxf>
  </rfmt>
  <rfmt sheetId="1" sqref="A2074">
    <dxf>
      <alignment horizontal="right" readingOrder="0"/>
    </dxf>
  </rfmt>
  <rfmt sheetId="1" sqref="A2074">
    <dxf>
      <alignment horizontal="center" readingOrder="0"/>
    </dxf>
  </rfmt>
  <rfmt sheetId="1" sqref="A2074">
    <dxf>
      <alignment vertical="center" readingOrder="0"/>
    </dxf>
  </rfmt>
  <rfmt sheetId="1" sqref="A2074">
    <dxf>
      <alignment horizontal="left" readingOrder="0"/>
    </dxf>
  </rfmt>
  <rfmt sheetId="1" sqref="A2074" start="0" length="0">
    <dxf>
      <font>
        <sz val="12"/>
        <color auto="1"/>
      </font>
      <fill>
        <patternFill patternType="none">
          <bgColor indexed="65"/>
        </patternFill>
      </fill>
      <alignment vertical="top" readingOrder="0"/>
    </dxf>
  </rfmt>
  <rcc rId="1520" sId="1">
    <nc r="A2074" t="inlineStr">
      <is>
        <t>1004                    01303R082Ф</t>
      </is>
    </nc>
  </rcc>
  <rcc rId="1521" sId="1">
    <nc r="A2075" t="inlineStr">
      <is>
        <t>1004                    01303R082С</t>
      </is>
    </nc>
  </rcc>
  <rcc rId="1522" sId="1">
    <nc r="B2074">
      <f>F598</f>
    </nc>
  </rcc>
  <rcc rId="1523" sId="1">
    <nc r="B2075">
      <f>F600</f>
    </nc>
  </rcc>
  <rcc rId="1524" sId="1">
    <oc r="B2073">
      <f>F596+F1123</f>
    </oc>
    <nc r="B2073">
      <f>F595+F1123</f>
    </nc>
  </rcc>
  <rcc rId="1525" sId="1">
    <nc r="D2074">
      <f>'W:\Решения Городской Думы\Бюджет 2018-2020\Уточнение бюджета январь\[Приложение 4_по разделам 2018_.xlsx]январь'!$E$1234</f>
    </nc>
  </rcc>
  <rcc rId="1526" sId="1">
    <nc r="D2075">
      <f>'W:\Решения Городской Думы\Бюджет 2018-2020\Уточнение бюджета январь\[Приложение 4_по разделам 2018_.xlsx]январь'!$E$1236</f>
    </nc>
  </rcc>
  <rcc rId="1527" sId="1">
    <nc r="F2074">
      <f>B2074-D2074</f>
    </nc>
  </rcc>
  <rcc rId="1528" sId="1">
    <nc r="F2075">
      <f>B2075-D2075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9" sId="1" numFmtId="4">
    <oc r="F267">
      <v>10000</v>
    </oc>
    <nc r="F267">
      <f>10000+5000</f>
    </nc>
  </rcc>
  <rcc rId="1530" sId="1" numFmtId="4">
    <nc r="G267">
      <v>5000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fmt sheetId="1" sqref="K368" start="0" length="0">
    <dxf>
      <border>
        <left/>
        <right/>
        <top/>
        <bottom/>
      </border>
    </dxf>
  </rfmt>
  <rcc rId="1909" sId="1" numFmtId="4">
    <oc r="F184">
      <v>3500</v>
    </oc>
    <nc r="F184">
      <f>3500+30000</f>
    </nc>
  </rcc>
  <rcc rId="1910" sId="1">
    <nc r="G184" t="inlineStr">
      <is>
        <t>+30000</t>
      </is>
    </nc>
  </rcc>
  <rcv guid="{A1566C65-087F-49E5-974A-3CF262DD7D96}" action="delete"/>
  <rdn rId="0" localSheetId="1" customView="1" name="Z_A1566C65_087F_49E5_974A_3CF262DD7D96_.wvu.PrintArea" hidden="1" oldHidden="1">
    <formula>январь!$A$6:$F$1646</formula>
    <oldFormula>январь!$A$6:$F$1646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январь!$A$10:$O$1647</formula>
    <oldFormula>январь!$A$10:$O$1647</oldFormula>
  </rdn>
  <rcv guid="{A1566C65-087F-49E5-974A-3CF262DD7D96}" action="add"/>
</revisions>
</file>

<file path=xl/revisions/revisionLog120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январь!$A$6:$F$1646</formula>
    <oldFormula>январь!$A$6:$F$1646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январь!$A$10:$O$1647</formula>
    <oldFormula>январь!$A$10:$O$1647</oldFormula>
  </rdn>
  <rcv guid="{A1566C65-087F-49E5-974A-3CF262DD7D96}" action="add"/>
</revisions>
</file>

<file path=xl/revisions/revisionLog1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1" sId="1" numFmtId="4">
    <nc r="F1601">
      <v>8928</v>
    </nc>
  </rcc>
  <rcc rId="1532" sId="1">
    <nc r="G1601" t="inlineStr">
      <is>
        <t>+8928</t>
      </is>
    </nc>
  </rcc>
  <rfmt sheetId="1" sqref="G1601" start="0" length="2147483647">
    <dxf>
      <font>
        <color rgb="FFFF0000"/>
      </font>
    </dxf>
  </rfmt>
</revisions>
</file>

<file path=xl/revisions/revisionLog121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январь!$A$6:$F$1623</formula>
    <oldFormula>январь!$A$6:$F$1623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январь!$A$10:$O$1624</formula>
    <oldFormula>январь!$A$10:$O$1624</oldFormula>
  </rdn>
  <rcv guid="{A1566C65-087F-49E5-974A-3CF262DD7D96}" action="add"/>
</revisions>
</file>

<file path=xl/revisions/revisionLog1210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январь!$A$6:$F$1646</formula>
    <oldFormula>январь!$A$6:$F$1646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январь!$A$10:$O$1647</formula>
    <oldFormula>январь!$A$10:$O$1647</oldFormula>
  </rdn>
  <rcv guid="{A1566C65-087F-49E5-974A-3CF262DD7D96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rc rId="213" sId="1" ref="A1815:XFD1819" action="insertRow"/>
  <rfmt sheetId="1" sqref="A1815" start="0" length="0">
    <dxf>
      <font>
        <b/>
        <sz val="12"/>
        <color auto="1"/>
      </font>
      <fill>
        <patternFill patternType="solid">
          <bgColor theme="0" tint="-0.14999847407452621"/>
        </patternFill>
      </fill>
    </dxf>
  </rfmt>
  <rcc rId="214" sId="1">
    <nc r="A1815" t="inlineStr">
      <is>
        <t>0705</t>
      </is>
    </nc>
  </rcc>
  <rfmt sheetId="1" sqref="A1816" start="0" length="0">
    <dxf>
      <font>
        <b/>
        <sz val="12"/>
        <color auto="1"/>
      </font>
      <fill>
        <patternFill patternType="solid">
          <bgColor theme="0" tint="-0.14999847407452621"/>
        </patternFill>
      </fill>
    </dxf>
  </rfmt>
  <rfmt sheetId="1" sqref="A1816" start="0" length="2147483647">
    <dxf>
      <font>
        <b val="0"/>
      </font>
    </dxf>
  </rfmt>
  <rcc rId="215" sId="1">
    <nc r="A1816" t="inlineStr">
      <is>
        <t>0705                    0300220400</t>
      </is>
    </nc>
  </rcc>
  <rcc rId="216" sId="1" numFmtId="4">
    <nc r="D1816">
      <v>0</v>
    </nc>
  </rcc>
  <rcc rId="217" sId="1">
    <nc r="F1816">
      <f>B1816-D1816</f>
    </nc>
  </rcc>
  <rcc rId="218" sId="1">
    <nc r="B1815">
      <f>SUM(B1816:B1818)</f>
    </nc>
  </rcc>
  <rfmt sheetId="1" sqref="B1815" start="0" length="2147483647">
    <dxf>
      <font>
        <b/>
      </font>
    </dxf>
  </rfmt>
  <rfmt sheetId="1" sqref="C1815" start="0" length="0">
    <dxf>
      <font>
        <b/>
        <sz val="12"/>
        <color auto="1"/>
      </font>
    </dxf>
  </rfmt>
  <rcc rId="219" sId="1" odxf="1" dxf="1">
    <nc r="D1815">
      <f>SUM(D1816:D1818)</f>
    </nc>
    <odxf>
      <font>
        <b val="0"/>
        <color auto="1"/>
      </font>
      <fill>
        <patternFill patternType="solid">
          <bgColor theme="0"/>
        </patternFill>
      </fill>
      <alignment horizontal="general" readingOrder="0"/>
    </odxf>
    <ndxf>
      <font>
        <b/>
        <sz val="12"/>
        <color auto="1"/>
      </font>
      <fill>
        <patternFill patternType="none">
          <bgColor indexed="65"/>
        </patternFill>
      </fill>
      <alignment horizontal="right" readingOrder="0"/>
    </ndxf>
  </rcc>
  <rfmt sheetId="1" sqref="E1815" start="0" length="0">
    <dxf>
      <font>
        <b/>
        <sz val="12"/>
        <color auto="1"/>
      </font>
      <alignment horizontal="right" readingOrder="0"/>
    </dxf>
  </rfmt>
  <rcc rId="220" sId="1" odxf="1" dxf="1">
    <nc r="F1815">
      <f>SUM(F1816:F1818)</f>
    </nc>
    <odxf>
      <font>
        <b val="0"/>
        <color theme="1"/>
      </font>
      <alignment horizontal="center" readingOrder="0"/>
    </odxf>
    <ndxf>
      <font>
        <b/>
        <sz val="12"/>
        <color auto="1"/>
      </font>
      <alignment horizontal="right" readingOrder="0"/>
    </ndxf>
  </rcc>
  <rcc rId="221" sId="1">
    <nc r="B1816">
      <f>F463</f>
    </nc>
  </rcc>
  <rfmt sheetId="1" sqref="A1817" start="0" length="0">
    <dxf>
      <fill>
        <patternFill patternType="solid">
          <bgColor theme="0" tint="-0.14999847407452621"/>
        </patternFill>
      </fill>
    </dxf>
  </rfmt>
  <rcc rId="222" sId="1">
    <nc r="A1817" t="inlineStr">
      <is>
        <t>0705                    1040920400</t>
      </is>
    </nc>
  </rcc>
  <rcc rId="223" sId="1">
    <nc r="B1817">
      <f>F468</f>
    </nc>
  </rcc>
  <rcc rId="224" sId="1" numFmtId="4">
    <nc r="D1817">
      <v>0</v>
    </nc>
  </rcc>
  <rcc rId="225" sId="1">
    <nc r="F1817">
      <f>B1817-D1817</f>
    </nc>
  </rcc>
  <rfmt sheetId="1" sqref="F1815">
    <dxf>
      <alignment horizontal="center" readingOrder="0"/>
    </dxf>
  </rfmt>
  <rcv guid="{A1566C65-087F-49E5-974A-3CF262DD7D96}" action="delete"/>
  <rdn rId="0" localSheetId="1" customView="1" name="Z_A1566C65_087F_49E5_974A_3CF262DD7D96_.wvu.PrintArea" hidden="1" oldHidden="1">
    <formula>' '!$A$6:$F$1516</formula>
    <oldFormula>' '!$A$6:$F$1516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'!$A$10:$O$1517</formula>
    <oldFormula>' '!$A$10:$O$1517</oldFormula>
  </rdn>
  <rcv guid="{A1566C65-087F-49E5-974A-3CF262DD7D96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' '!$A$6:$F$1495</formula>
    <oldFormula>' '!$A$6:$F$1495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'!$A$10:$O$1496</formula>
    <oldFormula>' '!$A$10:$O$1496</oldFormula>
  </rdn>
  <rcv guid="{A1566C65-087F-49E5-974A-3CF262DD7D96}" action="add"/>
</revisions>
</file>

<file path=xl/revisions/revisionLog12112.xml><?xml version="1.0" encoding="utf-8"?>
<revisions xmlns="http://schemas.openxmlformats.org/spreadsheetml/2006/main" xmlns:r="http://schemas.openxmlformats.org/officeDocument/2006/relationships">
  <rcc rId="12" sId="1">
    <nc r="G54" t="inlineStr">
      <is>
        <t>-200</t>
      </is>
    </nc>
  </rcc>
  <rcc rId="13" sId="1" numFmtId="4">
    <oc r="F54">
      <v>200</v>
    </oc>
    <nc r="F54">
      <f>200-200</f>
    </nc>
  </rcc>
  <rrc rId="14" sId="1" ref="A449:XFD454" action="insertRow"/>
  <rcc rId="15" sId="1">
    <nc r="A449" t="inlineStr">
      <is>
        <t>Муниципальная программа "Реформирование и развитие системы муниципальной службы в администрации города Южно-Сахалинска (2015-2020 годы)"</t>
      </is>
    </nc>
  </rcc>
  <rcc rId="16" sId="1">
    <nc r="B449" t="inlineStr">
      <is>
        <t>902</t>
      </is>
    </nc>
  </rcc>
  <rfmt sheetId="1" sqref="C449" start="0" length="0">
    <dxf>
      <font>
        <sz val="12"/>
        <color auto="1"/>
      </font>
      <numFmt numFmtId="0" formatCode="General"/>
    </dxf>
  </rfmt>
  <rcc rId="17" sId="1">
    <nc r="D449" t="inlineStr">
      <is>
        <t>0300000000</t>
      </is>
    </nc>
  </rcc>
  <rcc rId="18" sId="1">
    <nc r="E449" t="inlineStr">
      <is>
        <t/>
      </is>
    </nc>
  </rcc>
  <rcc rId="19" sId="1">
    <nc r="F449">
      <f>F450</f>
    </nc>
  </rcc>
  <rfmt sheetId="1" sqref="G449" start="0" length="0">
    <dxf>
      <numFmt numFmtId="3" formatCode="#,##0"/>
    </dxf>
  </rfmt>
  <rcc rId="20" sId="1">
    <nc r="A450" t="inlineStr">
      <is>
        <t>Дополнительное образование муниципальных служащих</t>
      </is>
    </nc>
  </rcc>
  <rcc rId="21" sId="1">
    <nc r="B450" t="inlineStr">
      <is>
        <t>902</t>
      </is>
    </nc>
  </rcc>
  <rfmt sheetId="1" sqref="C450" start="0" length="0">
    <dxf>
      <font>
        <sz val="12"/>
        <color auto="1"/>
      </font>
      <numFmt numFmtId="0" formatCode="General"/>
    </dxf>
  </rfmt>
  <rcc rId="22" sId="1">
    <nc r="D450" t="inlineStr">
      <is>
        <t>0300200000</t>
      </is>
    </nc>
  </rcc>
  <rcc rId="23" sId="1">
    <nc r="E450" t="inlineStr">
      <is>
        <t/>
      </is>
    </nc>
  </rcc>
  <rfmt sheetId="1" sqref="G450" start="0" length="0">
    <dxf>
      <numFmt numFmtId="165" formatCode="#,##0.0"/>
    </dxf>
  </rfmt>
  <rcc rId="24" sId="1">
    <nc r="A451" t="inlineStr">
      <is>
        <t>Расходы на обеспечение функций органов местного самоуправления</t>
      </is>
    </nc>
  </rcc>
  <rcc rId="25" sId="1">
    <nc r="B451">
      <v>902</v>
    </nc>
  </rcc>
  <rfmt sheetId="1" sqref="C451" start="0" length="0">
    <dxf>
      <font>
        <sz val="12"/>
        <color auto="1"/>
      </font>
      <numFmt numFmtId="0" formatCode="General"/>
    </dxf>
  </rfmt>
  <rcc rId="26" sId="1">
    <nc r="D451" t="inlineStr">
      <is>
        <t>0300200190</t>
      </is>
    </nc>
  </rcc>
  <rcc rId="27" sId="1">
    <nc r="F451">
      <f>F452</f>
    </nc>
  </rcc>
  <rfmt sheetId="1" sqref="G451" start="0" length="0">
    <dxf>
      <numFmt numFmtId="3" formatCode="#,##0"/>
    </dxf>
  </rfmt>
  <rcc rId="28" sId="1">
    <nc r="A452" t="inlineStr">
      <is>
        <t>Расходы на выплаты персоналу государственных (муниципальных) органов</t>
      </is>
    </nc>
  </rcc>
  <rcc rId="29" sId="1">
    <nc r="B452" t="inlineStr">
      <is>
        <t>902</t>
      </is>
    </nc>
  </rcc>
  <rfmt sheetId="1" sqref="C452" start="0" length="0">
    <dxf>
      <font>
        <sz val="12"/>
        <color auto="1"/>
      </font>
      <numFmt numFmtId="0" formatCode="General"/>
    </dxf>
  </rfmt>
  <rcc rId="30" sId="1">
    <nc r="D452" t="inlineStr">
      <is>
        <t>0300200190</t>
      </is>
    </nc>
  </rcc>
  <rcc rId="31" sId="1">
    <nc r="E452">
      <v>120</v>
    </nc>
  </rcc>
  <rcc rId="32" sId="1" numFmtId="4">
    <nc r="F452">
      <v>500</v>
    </nc>
  </rcc>
  <rfmt sheetId="1" sqref="G452" start="0" length="0">
    <dxf>
      <font>
        <b/>
        <sz val="12"/>
        <color rgb="FF7030A0"/>
      </font>
    </dxf>
  </rfmt>
  <rcc rId="33" sId="1" odxf="1" dxf="1">
    <nc r="A453" t="inlineStr">
      <is>
        <t>Дополнительное профессиональное образование муниципальных служащих</t>
      </is>
    </nc>
    <odxf>
      <alignment horizontal="left" vertical="top" readingOrder="0"/>
    </odxf>
    <ndxf>
      <alignment horizontal="general" vertical="center" readingOrder="0"/>
    </ndxf>
  </rcc>
  <rcc rId="34" sId="1">
    <nc r="B453" t="inlineStr">
      <is>
        <t>902</t>
      </is>
    </nc>
  </rcc>
  <rfmt sheetId="1" sqref="C453" start="0" length="0">
    <dxf>
      <font>
        <sz val="12"/>
        <color auto="1"/>
      </font>
      <numFmt numFmtId="0" formatCode="General"/>
    </dxf>
  </rfmt>
  <rcc rId="35" sId="1">
    <nc r="D453" t="inlineStr">
      <is>
        <t>0300220400</t>
      </is>
    </nc>
  </rcc>
  <rcc rId="36" sId="1">
    <nc r="F453">
      <f>F454</f>
    </nc>
  </rcc>
  <rfmt sheetId="1" sqref="G453" start="0" length="0">
    <dxf>
      <font>
        <b/>
        <sz val="12"/>
        <color rgb="FF7030A0"/>
      </font>
    </dxf>
  </rfmt>
  <rcc rId="37" sId="1" odxf="1" dxf="1">
    <nc r="A454" t="inlineStr">
      <is>
        <t>Иные закупки товаров, работ и услуг для обеспечения государственных (муниципальных) нужд</t>
      </is>
    </nc>
    <odxf>
      <font>
        <sz val="12"/>
        <color theme="1"/>
      </font>
    </odxf>
    <ndxf>
      <font>
        <sz val="12"/>
        <color auto="1"/>
      </font>
    </ndxf>
  </rcc>
  <rcc rId="38" sId="1">
    <nc r="B454" t="inlineStr">
      <is>
        <t>902</t>
      </is>
    </nc>
  </rcc>
  <rfmt sheetId="1" sqref="C454" start="0" length="0">
    <dxf>
      <font>
        <sz val="12"/>
        <color auto="1"/>
      </font>
      <numFmt numFmtId="0" formatCode="General"/>
    </dxf>
  </rfmt>
  <rcc rId="39" sId="1">
    <nc r="D454" t="inlineStr">
      <is>
        <t>0300220400</t>
      </is>
    </nc>
  </rcc>
  <rcc rId="40" sId="1">
    <nc r="E454">
      <v>240</v>
    </nc>
  </rcc>
  <rfmt sheetId="1" sqref="G454" start="0" length="0">
    <dxf>
      <font>
        <b/>
        <sz val="12"/>
        <color rgb="FF7030A0"/>
      </font>
    </dxf>
  </rfmt>
  <rfmt sheetId="1" sqref="C449" start="0" length="0">
    <dxf>
      <font>
        <sz val="12"/>
        <color theme="1"/>
      </font>
      <numFmt numFmtId="30" formatCode="@"/>
    </dxf>
  </rfmt>
  <rcc rId="41" sId="1">
    <nc r="C449" t="inlineStr">
      <is>
        <t>0705</t>
      </is>
    </nc>
  </rcc>
  <rcc rId="42" sId="1" odxf="1" dxf="1">
    <nc r="C450" t="inlineStr">
      <is>
        <t>0705</t>
      </is>
    </nc>
    <ndxf>
      <font>
        <sz val="12"/>
        <color theme="1"/>
      </font>
      <numFmt numFmtId="30" formatCode="@"/>
    </ndxf>
  </rcc>
  <rcc rId="43" sId="1" odxf="1" dxf="1">
    <nc r="C451" t="inlineStr">
      <is>
        <t>0705</t>
      </is>
    </nc>
    <ndxf>
      <font>
        <sz val="12"/>
        <color theme="1"/>
      </font>
      <numFmt numFmtId="30" formatCode="@"/>
    </ndxf>
  </rcc>
  <rcc rId="44" sId="1" odxf="1" dxf="1">
    <nc r="C452" t="inlineStr">
      <is>
        <t>0705</t>
      </is>
    </nc>
    <ndxf>
      <font>
        <sz val="12"/>
        <color theme="1"/>
      </font>
      <numFmt numFmtId="30" formatCode="@"/>
    </ndxf>
  </rcc>
  <rcc rId="45" sId="1" odxf="1" dxf="1">
    <nc r="C453" t="inlineStr">
      <is>
        <t>0705</t>
      </is>
    </nc>
    <ndxf>
      <font>
        <sz val="12"/>
        <color theme="1"/>
      </font>
      <numFmt numFmtId="30" formatCode="@"/>
    </ndxf>
  </rcc>
  <rcc rId="46" sId="1" odxf="1" dxf="1">
    <nc r="C454" t="inlineStr">
      <is>
        <t>0705</t>
      </is>
    </nc>
    <ndxf>
      <font>
        <sz val="12"/>
        <color theme="1"/>
      </font>
      <numFmt numFmtId="30" formatCode="@"/>
    </ndxf>
  </rcc>
  <rrc rId="47" sId="1" ref="A449:XFD449" action="insertRow"/>
  <rcc rId="48" sId="1">
    <nc r="B449" t="inlineStr">
      <is>
        <t>902</t>
      </is>
    </nc>
  </rcc>
  <rcc rId="49" sId="1">
    <nc r="C449" t="inlineStr">
      <is>
        <t>0705</t>
      </is>
    </nc>
  </rcc>
  <rfmt sheetId="1" sqref="G449" start="0" length="0">
    <dxf>
      <numFmt numFmtId="3" formatCode="#,##0"/>
    </dxf>
  </rfmt>
  <rcc rId="50" sId="1">
    <nc r="F449">
      <f>F450</f>
    </nc>
  </rcc>
  <rcc rId="51" sId="1">
    <oc r="F415">
      <f>F416+F429+F443</f>
    </oc>
    <nc r="F415">
      <f>F416+F429+F443+F449</f>
    </nc>
  </rcc>
  <rcc rId="52" sId="1">
    <nc r="F455">
      <f>200</f>
    </nc>
  </rcc>
  <rcc rId="53" sId="1">
    <nc r="G455" t="inlineStr">
      <is>
        <t>+200</t>
      </is>
    </nc>
  </rcc>
  <rrc rId="54" sId="1" ref="A452:XFD452" action="deleteRow">
    <undo index="0" exp="ref" v="1" dr="F452" r="F451" sId="1"/>
    <rfmt sheetId="1" xfDxf="1" sqref="A452:XFD452" start="0" length="0">
      <dxf>
        <font>
          <color auto="1"/>
        </font>
      </dxf>
    </rfmt>
    <rcc rId="0" sId="1" dxf="1">
      <nc r="A452" t="inlineStr">
        <is>
          <t>Расходы на обеспечение функций органов местного самоуправления</t>
        </is>
      </nc>
      <ndxf>
        <font>
          <sz val="12"/>
          <color theme="1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>
        <v>902</v>
      </nc>
      <n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0705</t>
        </is>
      </nc>
      <ndxf>
        <font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0300200190</t>
        </is>
      </nc>
      <ndxf>
        <font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2" start="0" length="0">
      <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2">
        <f>F453</f>
      </nc>
      <n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2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452" start="0" length="0">
      <dxf>
        <numFmt numFmtId="4" formatCode="#,##0.00"/>
      </dxf>
    </rfmt>
  </rrc>
  <rrc rId="55" sId="1" ref="A452:XFD452" action="deleteRow">
    <rfmt sheetId="1" xfDxf="1" sqref="A452:XFD452" start="0" length="0">
      <dxf>
        <font>
          <color auto="1"/>
        </font>
      </dxf>
    </rfmt>
    <rcc rId="0" sId="1" dxf="1">
      <nc r="A452" t="inlineStr">
        <is>
          <t>Расходы на выплаты персоналу государственных (муниципальных) органов</t>
        </is>
      </nc>
      <ndxf>
        <font>
          <sz val="12"/>
          <color theme="1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902</t>
        </is>
      </nc>
      <n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0705</t>
        </is>
      </nc>
      <ndxf>
        <font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0300200190</t>
        </is>
      </nc>
      <ndxf>
        <font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>
        <v>120</v>
      </nc>
      <n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2">
        <v>500</v>
      </nc>
      <n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2" start="0" length="0">
      <dxf>
        <font>
          <b/>
          <sz val="12"/>
          <color rgb="FF7030A0"/>
        </font>
        <numFmt numFmtId="30" formatCode="@"/>
        <alignment horizontal="left" readingOrder="0"/>
      </dxf>
    </rfmt>
    <rfmt sheetId="1" sqref="H452" start="0" length="0">
      <dxf>
        <numFmt numFmtId="4" formatCode="#,##0.00"/>
      </dxf>
    </rfmt>
  </rrc>
  <rcc rId="56" sId="1">
    <nc r="F451">
      <f>F452</f>
    </nc>
  </rcc>
  <rcc rId="57" sId="1">
    <nc r="A449" t="inlineStr">
      <is>
        <t>Профессиональная подготовка, переподготовка и повышение квалификации</t>
      </is>
    </nc>
  </rcc>
  <rcv guid="{A1566C65-087F-49E5-974A-3CF262DD7D96}" action="delete"/>
  <rdn rId="0" localSheetId="1" customView="1" name="Z_A1566C65_087F_49E5_974A_3CF262DD7D96_.wvu.PrintArea" hidden="1" oldHidden="1">
    <formula>' '!$A$6:$F$1500</formula>
    <oldFormula>' '!$A$6:$F$1500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'!$A$10:$O$1501</formula>
    <oldFormula>' '!$A$10:$O$1501</oldFormula>
  </rdn>
  <rcv guid="{A1566C65-087F-49E5-974A-3CF262DD7D96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fmt sheetId="1" sqref="D1620:F1620">
    <dxf>
      <fill>
        <patternFill>
          <bgColor theme="0"/>
        </patternFill>
      </fill>
    </dxf>
  </rfmt>
  <rfmt sheetId="1" sqref="E267">
    <dxf>
      <alignment vertical="center" readingOrder="0"/>
    </dxf>
  </rfmt>
  <rcv guid="{A1566C65-087F-49E5-974A-3CF262DD7D96}" action="delete"/>
  <rdn rId="0" localSheetId="1" customView="1" name="Z_A1566C65_087F_49E5_974A_3CF262DD7D96_.wvu.PrintArea" hidden="1" oldHidden="1">
    <formula>январь!$A$6:$F$1646</formula>
    <oldFormula>январь!$A$6:$F$1646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январь!$A$10:$O$1647</formula>
    <oldFormula>январь!$A$10:$O$1647</oldFormula>
  </rdn>
  <rcv guid="{A1566C65-087F-49E5-974A-3CF262DD7D96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январь!$A$6:$F$1619</formula>
    <oldFormula>январь!$A$6:$F$1619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январь!$A$10:$O$1620</formula>
    <oldFormula>январь!$A$10:$O$1620</oldFormula>
  </rdn>
  <rcv guid="{A1566C65-087F-49E5-974A-3CF262DD7D96}" action="add"/>
</revisions>
</file>

<file path=xl/revisions/revisionLog12211.xml><?xml version="1.0" encoding="utf-8"?>
<revisions xmlns="http://schemas.openxmlformats.org/spreadsheetml/2006/main" xmlns:r="http://schemas.openxmlformats.org/officeDocument/2006/relationships">
  <rrc rId="229" sId="1" ref="A1818:XFD1818" action="deleteRow">
    <undo index="0" exp="area" dr="F1816:F1818" r="F1815" sId="1"/>
    <undo index="0" exp="area" dr="D1816:D1818" r="D1815" sId="1"/>
    <undo index="0" exp="area" dr="B1816:B1818" r="B1815" sId="1"/>
    <rfmt sheetId="1" xfDxf="1" sqref="A1818:XFD1818" start="0" length="0">
      <dxf>
        <font>
          <color auto="1"/>
        </font>
      </dxf>
    </rfmt>
    <rfmt sheetId="1" sqref="A1818" start="0" length="0">
      <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18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18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18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18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18" start="0" length="0">
      <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18" start="0" length="0">
      <dxf>
        <font>
          <sz val="12"/>
          <color auto="1"/>
        </font>
        <numFmt numFmtId="4" formatCode="#,##0.00"/>
        <alignment horizontal="left" readingOrder="0"/>
      </dxf>
    </rfmt>
  </rrc>
  <rrc rId="230" sId="1" ref="A1818:XFD1818" action="deleteRow">
    <rfmt sheetId="1" xfDxf="1" sqref="A1818:XFD1818" start="0" length="0">
      <dxf>
        <font>
          <color auto="1"/>
        </font>
      </dxf>
    </rfmt>
    <rfmt sheetId="1" sqref="A1818" start="0" length="0">
      <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18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18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18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18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18" start="0" length="0">
      <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18" start="0" length="0">
      <dxf>
        <font>
          <sz val="12"/>
          <color auto="1"/>
        </font>
        <numFmt numFmtId="4" formatCode="#,##0.00"/>
        <alignment horizontal="left" readingOrder="0"/>
      </dxf>
    </rfmt>
  </rrc>
  <rcc rId="231" sId="1" odxf="1" dxf="1">
    <oc r="C468" t="inlineStr">
      <is>
        <t>0113</t>
      </is>
    </oc>
    <nc r="C468" t="inlineStr">
      <is>
        <t>0705</t>
      </is>
    </nc>
    <odxf>
      <numFmt numFmtId="0" formatCode="General"/>
    </odxf>
    <ndxf>
      <numFmt numFmtId="30" formatCode="@"/>
    </ndxf>
  </rcc>
  <rcc rId="232" sId="1" odxf="1" dxf="1">
    <oc r="C469" t="inlineStr">
      <is>
        <t>0113</t>
      </is>
    </oc>
    <nc r="C469" t="inlineStr">
      <is>
        <t>0705</t>
      </is>
    </nc>
    <odxf>
      <numFmt numFmtId="0" formatCode="General"/>
    </odxf>
    <ndxf>
      <numFmt numFmtId="30" formatCode="@"/>
    </ndxf>
  </rcc>
  <rcv guid="{A1566C65-087F-49E5-974A-3CF262DD7D96}" action="delete"/>
  <rdn rId="0" localSheetId="1" customView="1" name="Z_A1566C65_087F_49E5_974A_3CF262DD7D96_.wvu.PrintArea" hidden="1" oldHidden="1">
    <formula>' '!$A$6:$F$1516</formula>
    <oldFormula>' '!$A$6:$F$1516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'!$A$10:$O$1517</formula>
    <oldFormula>' '!$A$10:$O$1517</oldFormula>
  </rdn>
  <rcv guid="{A1566C65-087F-49E5-974A-3CF262DD7D96}" action="add"/>
</revisions>
</file>

<file path=xl/revisions/revisionLog12212.xml><?xml version="1.0" encoding="utf-8"?>
<revisions xmlns="http://schemas.openxmlformats.org/spreadsheetml/2006/main" xmlns:r="http://schemas.openxmlformats.org/officeDocument/2006/relationships">
  <rcc rId="1272" sId="1">
    <oc r="B1914">
      <f>F484+F1472+F757+F1526+F944+F719</f>
    </oc>
    <nc r="B1914">
      <f>F484+F1472+F757+F1526+F944+F719+F806+F1171</f>
    </nc>
  </rcc>
  <rcv guid="{A1566C65-087F-49E5-974A-3CF262DD7D96}" action="delete"/>
  <rdn rId="0" localSheetId="1" customView="1" name="Z_A1566C65_087F_49E5_974A_3CF262DD7D96_.wvu.PrintArea" hidden="1" oldHidden="1">
    <formula>январь!$A$6:$F$1610</formula>
    <oldFormula>январь!$A$6:$F$1610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январь!$A$10:$O$1611</formula>
    <oldFormula>январь!$A$10:$O$1611</oldFormula>
  </rdn>
  <rcv guid="{A1566C65-087F-49E5-974A-3CF262DD7D96}" action="add"/>
</revisions>
</file>

<file path=xl/revisions/revisionLog123.xml><?xml version="1.0" encoding="utf-8"?>
<revisions xmlns="http://schemas.openxmlformats.org/spreadsheetml/2006/main" xmlns:r="http://schemas.openxmlformats.org/officeDocument/2006/relationships">
  <rcc rId="1185" sId="1">
    <oc r="F232">
      <f>10+0.4-10</f>
    </oc>
    <nc r="F232">
      <f>10+0.4-10.4</f>
    </nc>
  </rcc>
  <rcv guid="{A1566C65-087F-49E5-974A-3CF262DD7D96}" action="delete"/>
  <rdn rId="0" localSheetId="1" customView="1" name="Z_A1566C65_087F_49E5_974A_3CF262DD7D96_.wvu.PrintArea" hidden="1" oldHidden="1">
    <formula>январь!$A$6:$F$1599</formula>
    <oldFormula>январь!$A$6:$F$1599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январь!$A$10:$O$1600</formula>
    <oldFormula>январь!$A$10:$O$1600</oldFormula>
  </rdn>
  <rcv guid="{A1566C65-087F-49E5-974A-3CF262DD7D96}" action="add"/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3" sId="1">
    <oc r="F400">
      <f>243696+24541.5</f>
    </oc>
    <nc r="F400">
      <f>243696+24541.5+263246.3</f>
    </nc>
  </rcc>
  <rcc rId="1534" sId="1">
    <nc r="G400" t="inlineStr">
      <is>
        <t>263246,3</t>
      </is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5" sId="1" numFmtId="4">
    <oc r="F713">
      <v>300</v>
    </oc>
    <nc r="F713">
      <f>300-300</f>
    </nc>
  </rcc>
  <rcc rId="1536" sId="1" numFmtId="4">
    <nc r="G713">
      <v>-300</v>
    </nc>
  </rcc>
  <rcc rId="1537" sId="1">
    <nc r="H713" t="inlineStr">
      <is>
        <t>Латышева</t>
      </is>
    </nc>
  </rcc>
  <rfmt sheetId="1" sqref="G713:H713" start="0" length="2147483647">
    <dxf>
      <font>
        <color rgb="FFB413F5"/>
      </font>
    </dxf>
  </rfmt>
  <rcv guid="{7893FC3C-95F8-4D88-923A-D8B3F348D1CF}" action="delete"/>
  <rdn rId="0" localSheetId="1" customView="1" name="Z_7893FC3C_95F8_4D88_923A_D8B3F348D1CF_.wvu.PrintArea" hidden="1" oldHidden="1">
    <formula>январь!$A$6:$F$1627</formula>
    <oldFormula>январь!$A$6:$F$1627</oldFormula>
  </rdn>
  <rdn rId="0" localSheetId="1" customView="1" name="Z_7893FC3C_95F8_4D88_923A_D8B3F348D1CF_.wvu.PrintTitles" hidden="1" oldHidden="1">
    <formula>январь!$9:$10</formula>
    <oldFormula>январь!$9:$10</oldFormula>
  </rdn>
  <rdn rId="0" localSheetId="1" customView="1" name="Z_7893FC3C_95F8_4D88_923A_D8B3F348D1CF_.wvu.FilterData" hidden="1" oldHidden="1">
    <formula>январь!$A$10:$F$1628</formula>
    <oldFormula>январь!$A$10:$O$1628</oldFormula>
  </rdn>
  <rcv guid="{7893FC3C-95F8-4D88-923A-D8B3F348D1CF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>
    <oc r="F421">
      <f>10812.5-4810.7</f>
    </oc>
    <nc r="F421">
      <f>10812.5-4810.7+1940.6</f>
    </nc>
  </rcc>
  <rcc rId="1542" sId="1">
    <nc r="G421" t="inlineStr">
      <is>
        <t>1940,6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3" sId="1" numFmtId="4">
    <nc r="G1530">
      <v>1527</v>
    </nc>
  </rcc>
  <rcc rId="1544" sId="1" numFmtId="4">
    <nc r="G1531">
      <v>717.4</v>
    </nc>
  </rcc>
  <rcc rId="1545" sId="1" numFmtId="4">
    <oc r="F1531">
      <v>47048.4</v>
    </oc>
    <nc r="F1531">
      <f>47048.4+717.4</f>
    </nc>
  </rcc>
  <rcc rId="1546" sId="1" numFmtId="4">
    <oc r="F1530">
      <v>109213.3</v>
    </oc>
    <nc r="F1530">
      <f>109213.3+1527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январь!$A$6:$F$1646</formula>
    <oldFormula>январь!$A$6:$F$1646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январь!$A$10:$O$1647</formula>
    <oldFormula>январь!$A$10:$O$1647</oldFormula>
  </rdn>
  <rcv guid="{A1566C65-087F-49E5-974A-3CF262DD7D96}" action="add"/>
</revisions>
</file>

<file path=xl/revisions/revisionLog1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7" sId="1">
    <oc r="F1592">
      <f>26386.6+12354.6</f>
    </oc>
    <nc r="F1592">
      <f>26386.6+12354.6+323.4</f>
    </nc>
  </rcc>
  <rcc rId="1548" sId="1" numFmtId="4">
    <nc r="H1592">
      <v>323.39999999999998</v>
    </nc>
  </rcc>
  <rfmt sheetId="1" sqref="H1592" start="0" length="2147483647">
    <dxf>
      <font>
        <sz val="12"/>
      </font>
    </dxf>
  </rfmt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9" sId="1">
    <oc r="F1531">
      <f>47048.4+717.4</f>
    </oc>
    <nc r="F1531">
      <f>47048.4+717.4-5054.1</f>
    </nc>
  </rcc>
  <rcc rId="1550" sId="1" numFmtId="4">
    <nc r="H1531">
      <v>-5054.1000000000004</v>
    </nc>
  </rcc>
  <rfmt sheetId="1" sqref="H1531">
    <dxf>
      <numFmt numFmtId="166" formatCode="0.0"/>
    </dxf>
  </rfmt>
  <rcc rId="1551" sId="1" numFmtId="4">
    <oc r="F1537">
      <v>3415.8</v>
    </oc>
    <nc r="F1537">
      <f>3415.8-2628</f>
    </nc>
  </rcc>
  <rcc rId="1552" sId="1">
    <nc r="G1537" t="inlineStr">
      <is>
        <t>-2628</t>
      </is>
    </nc>
  </rcc>
  <rfmt sheetId="1" sqref="G1537" start="0" length="2147483647">
    <dxf>
      <font>
        <b val="0"/>
      </font>
    </dxf>
  </rfmt>
  <rfmt sheetId="1" sqref="G1537" start="0" length="2147483647">
    <dxf>
      <font>
        <color rgb="FFFF0000"/>
      </font>
    </dxf>
  </rfmt>
  <rfmt sheetId="1" sqref="G1537" start="0" length="2147483647">
    <dxf>
      <font>
        <sz val="12"/>
      </font>
    </dxf>
  </rfmt>
  <rfmt sheetId="1" sqref="G1537" start="0" length="2147483647">
    <dxf>
      <font>
        <b/>
      </font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>
  <rfmt sheetId="1" sqref="A585" start="0" length="0">
    <dxf>
      <font>
        <sz val="12"/>
        <color auto="1"/>
      </font>
      <fill>
        <patternFill patternType="none">
          <bgColor indexed="65"/>
        </patternFill>
      </fill>
      <alignment horizontal="justify" vertical="center" readingOrder="0"/>
      <border outline="0">
        <top/>
      </border>
    </dxf>
  </rfmt>
  <rcc rId="1608" sId="1" odxf="1" dxf="1">
    <nc r="A586" t="inlineStr">
      <is>
        <t xml:space="preserve">Субсидия на функционирование и развитие деятельности местных общественных организаций инвалидов и ветеранов
</t>
      </is>
    </nc>
    <odxf>
      <font>
        <sz val="12"/>
        <color auto="1"/>
      </font>
      <fill>
        <patternFill patternType="solid">
          <bgColor theme="0"/>
        </patternFill>
      </fill>
      <alignment horizontal="left" vertical="top" readingOrder="0"/>
      <border outline="0">
        <top style="thin">
          <color indexed="64"/>
        </top>
      </border>
    </odxf>
    <ndxf>
      <font>
        <sz val="12"/>
        <color auto="1"/>
      </font>
      <fill>
        <patternFill patternType="none">
          <bgColor indexed="65"/>
        </patternFill>
      </fill>
      <alignment horizontal="general" vertical="center" readingOrder="0"/>
      <border outline="0">
        <top/>
      </border>
    </ndxf>
  </rcc>
  <rcc rId="1609" sId="1">
    <nc r="A585" t="inlineStr">
      <is>
        <t>Муниципальная поддержка местных общественных организаций инвалидов и ветеранов</t>
      </is>
    </nc>
  </rcc>
  <rcv guid="{A1566C65-087F-49E5-974A-3CF262DD7D96}" action="delete"/>
  <rdn rId="0" localSheetId="1" customView="1" name="Z_A1566C65_087F_49E5_974A_3CF262DD7D96_.wvu.PrintArea" hidden="1" oldHidden="1">
    <formula>январь!$A$6:$F$1632</formula>
    <oldFormula>январь!$A$6:$F$1632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январь!$A$10:$O$1633</formula>
    <oldFormula>январь!$A$10:$O$1633</oldFormula>
  </rdn>
  <rcv guid="{A1566C65-087F-49E5-974A-3CF262DD7D96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3" sId="1">
    <oc r="F64">
      <f>409208+13478.5+13026.8</f>
    </oc>
    <nc r="F64">
      <f>409208+13478.5+13026.8-9569.6</f>
    </nc>
  </rcc>
  <rcc rId="1554" sId="1">
    <nc r="I64">
      <v>-9569.6</v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283" sId="1" ref="A1550:XFD1550" action="insertRow"/>
  <rcc rId="284" sId="1">
    <nc r="A1550" t="inlineStr">
      <is>
        <t>0104                   1040900190</t>
      </is>
    </nc>
  </rcc>
  <rcc rId="285" sId="1">
    <nc r="B1550">
      <f>F58</f>
    </nc>
  </rcc>
  <rcc rId="286" sId="1" numFmtId="4">
    <nc r="D1550">
      <v>0</v>
    </nc>
  </rcc>
  <rcc rId="287" sId="1">
    <nc r="F1550">
      <f>B1550-D1550</f>
    </nc>
  </rcc>
  <rcc rId="288" sId="1">
    <oc r="B1539">
      <f>SUM(B1540:B1549)</f>
    </oc>
    <nc r="B1539">
      <f>SUM(B1540:B1550)</f>
    </nc>
  </rcc>
  <rcc rId="289" sId="1">
    <oc r="D1539">
      <f>SUM(D1540:D1549)</f>
    </oc>
    <nc r="D1539">
      <f>SUM(D1540:D1550)</f>
    </nc>
  </rcc>
  <rcc rId="290" sId="1">
    <oc r="F1539">
      <f>B1539-D1539</f>
    </oc>
    <nc r="F1539">
      <f>B1539-D1539</f>
    </nc>
  </rcc>
  <rcv guid="{A1566C65-087F-49E5-974A-3CF262DD7D96}" action="delete"/>
  <rdn rId="0" localSheetId="1" customView="1" name="Z_A1566C65_087F_49E5_974A_3CF262DD7D96_.wvu.PrintArea" hidden="1" oldHidden="1">
    <formula>' '!$A$6:$F$1521</formula>
    <oldFormula>' '!$A$6:$F$1521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'!$A$10:$O$1522</formula>
    <oldFormula>' '!$A$10:$O$1522</oldFormula>
  </rdn>
  <rcv guid="{A1566C65-087F-49E5-974A-3CF262DD7D96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rc rId="174" sId="1" ref="A465:XFD466" action="insertRow"/>
  <rcc rId="175" sId="1" odxf="1" dxf="1">
    <nc r="A465" t="inlineStr">
      <is>
        <t>Дополнительное профессиональное образование муниципальных служащих</t>
      </is>
    </nc>
    <odxf>
      <font>
        <sz val="12"/>
        <color auto="1"/>
      </font>
      <alignment horizontal="left" vertical="top" readingOrder="0"/>
    </odxf>
    <ndxf>
      <font>
        <sz val="12"/>
        <color theme="1"/>
      </font>
      <alignment horizontal="general" vertical="center" readingOrder="0"/>
    </ndxf>
  </rcc>
  <rcc rId="176" sId="1">
    <nc r="B465" t="inlineStr">
      <is>
        <t>902</t>
      </is>
    </nc>
  </rcc>
  <rcc rId="177" sId="1" odxf="1" dxf="1">
    <nc r="C465" t="inlineStr">
      <is>
        <t>0113</t>
      </is>
    </nc>
    <odxf>
      <numFmt numFmtId="30" formatCode="@"/>
    </odxf>
    <ndxf>
      <numFmt numFmtId="0" formatCode="General"/>
    </ndxf>
  </rcc>
  <rcc rId="178" sId="1">
    <nc r="D465" t="inlineStr">
      <is>
        <t>1040920400</t>
      </is>
    </nc>
  </rcc>
  <rcc rId="179" sId="1">
    <nc r="F465">
      <f>F466</f>
    </nc>
  </rcc>
  <rfmt sheetId="1" sqref="G465" start="0" length="0">
    <dxf>
      <font>
        <b val="0"/>
        <sz val="12"/>
        <color auto="1"/>
      </font>
      <numFmt numFmtId="3" formatCode="#,##0"/>
    </dxf>
  </rfmt>
  <rcc rId="180" sId="1">
    <nc r="A466" t="inlineStr">
      <is>
        <t>Иные закупки товаров, работ и услуг для обеспечения государственных (муниципальных) нужд</t>
      </is>
    </nc>
  </rcc>
  <rcc rId="181" sId="1">
    <nc r="B466" t="inlineStr">
      <is>
        <t>902</t>
      </is>
    </nc>
  </rcc>
  <rcc rId="182" sId="1" odxf="1" dxf="1">
    <nc r="C466" t="inlineStr">
      <is>
        <t>0113</t>
      </is>
    </nc>
    <odxf>
      <numFmt numFmtId="30" formatCode="@"/>
    </odxf>
    <ndxf>
      <numFmt numFmtId="0" formatCode="General"/>
    </ndxf>
  </rcc>
  <rcc rId="183" sId="1">
    <nc r="D466" t="inlineStr">
      <is>
        <t>1040920400</t>
      </is>
    </nc>
  </rcc>
  <rcc rId="184" sId="1">
    <nc r="E466">
      <v>240</v>
    </nc>
  </rcc>
  <rrc rId="185" sId="1" ref="A465:XFD466" action="insertRow"/>
  <rrc rId="186" sId="1" ref="A465:XFD467" action="insertRow"/>
  <rcc rId="187" sId="1" odxf="1" dxf="1">
    <nc r="A465" t="inlineStr">
      <is>
        <t>Муниципальная программа "Обеспечение общественного правопорядка, противодействие преступности и незаконному обороту наркотиков в городском округе "Город Южно-Сахалинск" на 2015-2020 годы"</t>
      </is>
    </nc>
    <odxf>
      <font>
        <sz val="12"/>
        <color auto="1"/>
      </font>
    </odxf>
    <ndxf>
      <font>
        <sz val="12"/>
        <color theme="1"/>
      </font>
    </ndxf>
  </rcc>
  <rcc rId="188" sId="1">
    <nc r="B465" t="inlineStr">
      <is>
        <t>902</t>
      </is>
    </nc>
  </rcc>
  <rfmt sheetId="1" sqref="C465" start="0" length="0">
    <dxf>
      <font>
        <sz val="12"/>
        <color auto="1"/>
      </font>
      <numFmt numFmtId="0" formatCode="General"/>
    </dxf>
  </rfmt>
  <rcc rId="189" sId="1">
    <nc r="D465" t="inlineStr">
      <is>
        <t>1000000000</t>
      </is>
    </nc>
  </rcc>
  <rcc rId="190" sId="1">
    <nc r="E465" t="inlineStr">
      <is>
        <t/>
      </is>
    </nc>
  </rcc>
  <rfmt sheetId="1" sqref="G465" start="0" length="0">
    <dxf>
      <font>
        <b val="0"/>
        <sz val="12"/>
        <color auto="1"/>
      </font>
      <numFmt numFmtId="3" formatCode="#,##0"/>
    </dxf>
  </rfmt>
  <rcc rId="191" sId="1" odxf="1" dxf="1">
    <nc r="A466" t="inlineStr">
      <is>
        <t>Подпрограмма "Противодействие коррупции в администрации города Южно-Сахалинска на 2015-2020 годы"</t>
      </is>
    </nc>
    <odxf>
      <font>
        <sz val="12"/>
        <color auto="1"/>
      </font>
    </odxf>
    <ndxf>
      <font>
        <sz val="12"/>
        <color theme="1"/>
      </font>
    </ndxf>
  </rcc>
  <rcc rId="192" sId="1">
    <nc r="B466" t="inlineStr">
      <is>
        <t>902</t>
      </is>
    </nc>
  </rcc>
  <rfmt sheetId="1" sqref="C466" start="0" length="0">
    <dxf>
      <font>
        <sz val="12"/>
        <color auto="1"/>
      </font>
      <numFmt numFmtId="0" formatCode="General"/>
    </dxf>
  </rfmt>
  <rcc rId="193" sId="1">
    <nc r="D466" t="inlineStr">
      <is>
        <t>1040000000</t>
      </is>
    </nc>
  </rcc>
  <rcc rId="194" sId="1">
    <nc r="E466" t="inlineStr">
      <is>
        <t/>
      </is>
    </nc>
  </rcc>
  <rfmt sheetId="1" sqref="G466" start="0" length="0">
    <dxf>
      <font>
        <b val="0"/>
        <sz val="12"/>
        <color auto="1"/>
      </font>
      <numFmt numFmtId="3" formatCode="#,##0"/>
    </dxf>
  </rfmt>
  <rcc rId="195" sId="1" odxf="1" dxf="1">
    <nc r="A467" t="inlineStr">
      <is>
        <t>Организация повышения квалификации специалистов, в должностные обязанности которых входит участие в противодействии коррупции</t>
      </is>
    </nc>
    <odxf>
      <font>
        <sz val="12"/>
        <color auto="1"/>
      </font>
    </odxf>
    <ndxf>
      <font>
        <sz val="12"/>
        <color theme="1"/>
      </font>
    </ndxf>
  </rcc>
  <rcc rId="196" sId="1">
    <nc r="B467" t="inlineStr">
      <is>
        <t>902</t>
      </is>
    </nc>
  </rcc>
  <rfmt sheetId="1" sqref="C467" start="0" length="0">
    <dxf>
      <font>
        <sz val="12"/>
        <color auto="1"/>
      </font>
      <numFmt numFmtId="0" formatCode="General"/>
    </dxf>
  </rfmt>
  <rcc rId="197" sId="1">
    <nc r="D467" t="inlineStr">
      <is>
        <t>1040900000</t>
      </is>
    </nc>
  </rcc>
  <rcc rId="198" sId="1">
    <nc r="E467" t="inlineStr">
      <is>
        <t/>
      </is>
    </nc>
  </rcc>
  <rfmt sheetId="1" sqref="G467" start="0" length="0">
    <dxf>
      <font>
        <b val="0"/>
        <sz val="12"/>
        <color auto="1"/>
      </font>
      <numFmt numFmtId="3" formatCode="#,##0"/>
    </dxf>
  </rfmt>
  <rrc rId="199" sId="1" ref="A468:XFD468" action="deleteRow">
    <undo index="0" exp="ref" v="1" dr="F468" r="F467" sId="1"/>
    <rfmt sheetId="1" xfDxf="1" sqref="A468:XFD468" start="0" length="0">
      <dxf>
        <font>
          <color auto="1"/>
        </font>
      </dxf>
    </rfmt>
    <rfmt sheetId="1" sqref="A468" start="0" length="0">
      <dxf>
        <font>
          <sz val="12"/>
          <color auto="1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8" start="0" length="0">
      <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8" start="0" length="0">
      <dxf>
        <font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8" start="0" length="0">
      <dxf>
        <font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8" start="0" length="0">
      <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8" start="0" length="0">
      <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8" start="0" length="0">
      <dxf>
        <font>
          <b/>
          <sz val="12"/>
          <color rgb="FF7030A0"/>
        </font>
        <numFmt numFmtId="30" formatCode="@"/>
        <alignment horizontal="left" readingOrder="0"/>
      </dxf>
    </rfmt>
    <rfmt sheetId="1" sqref="H468" start="0" length="0">
      <dxf>
        <numFmt numFmtId="4" formatCode="#,##0.00"/>
      </dxf>
    </rfmt>
  </rrc>
  <rrc rId="200" sId="1" ref="A468:XFD468" action="deleteRow">
    <rfmt sheetId="1" xfDxf="1" sqref="A468:XFD468" start="0" length="0">
      <dxf>
        <font>
          <color auto="1"/>
        </font>
      </dxf>
    </rfmt>
    <rfmt sheetId="1" sqref="A468" start="0" length="0">
      <dxf>
        <font>
          <sz val="12"/>
          <color auto="1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8" start="0" length="0">
      <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8" start="0" length="0">
      <dxf>
        <font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8" start="0" length="0">
      <dxf>
        <font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8" start="0" length="0">
      <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8" start="0" length="0">
      <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8" start="0" length="0">
      <dxf>
        <font>
          <b/>
          <sz val="12"/>
          <color rgb="FF7030A0"/>
        </font>
        <numFmt numFmtId="30" formatCode="@"/>
        <alignment horizontal="left" readingOrder="0"/>
      </dxf>
    </rfmt>
    <rfmt sheetId="1" sqref="H468" start="0" length="0">
      <dxf>
        <numFmt numFmtId="4" formatCode="#,##0.00"/>
      </dxf>
    </rfmt>
  </rrc>
  <rcc rId="201" sId="1" odxf="1" dxf="1">
    <nc r="C465" t="inlineStr">
      <is>
        <t>0705</t>
      </is>
    </nc>
    <ndxf>
      <font>
        <sz val="12"/>
        <color theme="1"/>
      </font>
      <numFmt numFmtId="30" formatCode="@"/>
    </ndxf>
  </rcc>
  <rcc rId="202" sId="1" odxf="1" dxf="1">
    <nc r="C466" t="inlineStr">
      <is>
        <t>0705</t>
      </is>
    </nc>
    <ndxf>
      <font>
        <sz val="12"/>
        <color theme="1"/>
      </font>
      <numFmt numFmtId="30" formatCode="@"/>
    </ndxf>
  </rcc>
  <rcc rId="203" sId="1" odxf="1" dxf="1">
    <nc r="C467" t="inlineStr">
      <is>
        <t>0705</t>
      </is>
    </nc>
    <ndxf>
      <font>
        <sz val="12"/>
        <color theme="1"/>
      </font>
      <numFmt numFmtId="30" formatCode="@"/>
    </ndxf>
  </rcc>
  <rcc rId="204" sId="1">
    <nc r="F465">
      <f>F466</f>
    </nc>
  </rcc>
  <rcc rId="205" sId="1">
    <nc r="F466">
      <f>F467</f>
    </nc>
  </rcc>
  <rcc rId="206" sId="1">
    <nc r="F467">
      <f>F468</f>
    </nc>
  </rcc>
  <rcc rId="207" sId="1">
    <nc r="G469" t="inlineStr">
      <is>
        <t>+32,0</t>
      </is>
    </nc>
  </rcc>
  <rcc rId="208" sId="1">
    <nc r="F469">
      <f>32</f>
    </nc>
  </rcc>
  <rcc rId="209" sId="1">
    <oc r="F460">
      <f>F461</f>
    </oc>
    <nc r="F460">
      <f>F461+F465</f>
    </nc>
  </rcc>
  <rcv guid="{A1566C65-087F-49E5-974A-3CF262DD7D96}" action="delete"/>
  <rdn rId="0" localSheetId="1" customView="1" name="Z_A1566C65_087F_49E5_974A_3CF262DD7D96_.wvu.PrintArea" hidden="1" oldHidden="1">
    <formula>' '!$A$6:$F$1516</formula>
    <oldFormula>' '!$A$6:$F$1516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'!$A$10:$O$1517</formula>
    <oldFormula>' '!$A$10:$O$1517</oldFormula>
  </rdn>
  <rcv guid="{A1566C65-087F-49E5-974A-3CF262DD7D96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fmt sheetId="1" sqref="G59">
    <dxf>
      <numFmt numFmtId="0" formatCode="General"/>
    </dxf>
  </rfmt>
  <rfmt sheetId="1" sqref="G59">
    <dxf>
      <numFmt numFmtId="30" formatCode="@"/>
    </dxf>
  </rfmt>
  <rcc rId="170" sId="1" numFmtId="30">
    <oc r="G59">
      <v>77.7</v>
    </oc>
    <nc r="G59" t="inlineStr">
      <is>
        <t>+77,7</t>
      </is>
    </nc>
  </rcc>
  <rcv guid="{A1566C65-087F-49E5-974A-3CF262DD7D96}" action="delete"/>
  <rdn rId="0" localSheetId="1" customView="1" name="Z_A1566C65_087F_49E5_974A_3CF262DD7D96_.wvu.PrintArea" hidden="1" oldHidden="1">
    <formula>' '!$A$6:$F$1511</formula>
    <oldFormula>' '!$A$6:$F$1511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'!$A$10:$O$1512</formula>
    <oldFormula>' '!$A$10:$O$1512</oldFormula>
  </rdn>
  <rcv guid="{A1566C65-087F-49E5-974A-3CF262DD7D96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cc rId="118" sId="1">
    <oc r="G54" t="inlineStr">
      <is>
        <t>-200</t>
      </is>
    </oc>
    <nc r="G54" t="inlineStr">
      <is>
        <t>-200,0</t>
      </is>
    </nc>
  </rcc>
  <rcc rId="119" sId="1" numFmtId="4">
    <oc r="F100">
      <v>32</v>
    </oc>
    <nc r="F100">
      <f>32-32</f>
    </nc>
  </rcc>
  <rcc rId="120" sId="1" numFmtId="4">
    <nc r="G98">
      <v>-77.7</v>
    </nc>
  </rcc>
  <rfmt sheetId="1" sqref="G98">
    <dxf>
      <numFmt numFmtId="165" formatCode="#,##0.0"/>
    </dxf>
  </rfmt>
  <rfmt sheetId="1" sqref="G98" start="0" length="2147483647">
    <dxf>
      <font>
        <color rgb="FF7030A0"/>
      </font>
    </dxf>
  </rfmt>
  <rfmt sheetId="1" sqref="G98" start="0" length="2147483647">
    <dxf>
      <font>
        <b/>
      </font>
    </dxf>
  </rfmt>
  <rcc rId="121" sId="1" numFmtId="4">
    <oc r="F98">
      <v>77.7</v>
    </oc>
    <nc r="F98">
      <f>77.7-77.7</f>
    </nc>
  </rcc>
  <rrc rId="122" sId="1" ref="A55:XFD59" action="insertRow"/>
  <rcc rId="123" sId="1" odxf="1" dxf="1">
    <nc r="A55" t="inlineStr">
      <is>
        <t>Организация повышения квалификации специалистов, в должностные обязанности которых входит участие в противодействии коррупции</t>
      </is>
    </nc>
    <odxf>
      <font>
        <sz val="12"/>
        <color auto="1"/>
      </font>
    </odxf>
    <ndxf>
      <font>
        <sz val="12"/>
        <color theme="1"/>
      </font>
    </ndxf>
  </rcc>
  <rcc rId="124" sId="1">
    <nc r="B55" t="inlineStr">
      <is>
        <t>902</t>
      </is>
    </nc>
  </rcc>
  <rfmt sheetId="1" sqref="C55" start="0" length="0">
    <dxf>
      <font>
        <sz val="12"/>
        <color theme="1"/>
      </font>
    </dxf>
  </rfmt>
  <rcc rId="125" sId="1">
    <nc r="D55" t="inlineStr">
      <is>
        <t>1040900000</t>
      </is>
    </nc>
  </rcc>
  <rcc rId="126" sId="1">
    <nc r="E55" t="inlineStr">
      <is>
        <t/>
      </is>
    </nc>
  </rcc>
  <rfmt sheetId="1" sqref="G55" start="0" length="0">
    <dxf>
      <font>
        <b val="0"/>
        <sz val="12"/>
        <color auto="1"/>
      </font>
      <numFmt numFmtId="3" formatCode="#,##0"/>
    </dxf>
  </rfmt>
  <rcc rId="127" sId="1" odxf="1" dxf="1">
    <nc r="A56" t="inlineStr">
      <is>
        <t>Расходы на обеспечение функций органов местного самоуправления</t>
      </is>
    </nc>
    <odxf>
      <font>
        <sz val="12"/>
        <color auto="1"/>
      </font>
      <fill>
        <patternFill patternType="solid">
          <bgColor theme="0"/>
        </patternFill>
      </fill>
      <alignment horizontal="left" vertical="top" readingOrder="0"/>
    </odxf>
    <ndxf>
      <font>
        <sz val="12"/>
        <color theme="1"/>
      </font>
      <fill>
        <patternFill patternType="none">
          <bgColor indexed="65"/>
        </patternFill>
      </fill>
      <alignment horizontal="general" vertical="center" readingOrder="0"/>
    </ndxf>
  </rcc>
  <rcc rId="128" sId="1">
    <nc r="B56" t="inlineStr">
      <is>
        <t>902</t>
      </is>
    </nc>
  </rcc>
  <rfmt sheetId="1" sqref="C56" start="0" length="0">
    <dxf>
      <font>
        <sz val="12"/>
        <color theme="1"/>
      </font>
    </dxf>
  </rfmt>
  <rcc rId="129" sId="1">
    <nc r="D56" t="inlineStr">
      <is>
        <t>1040900190</t>
      </is>
    </nc>
  </rcc>
  <rcc rId="130" sId="1">
    <nc r="F56">
      <f>F57</f>
    </nc>
  </rcc>
  <rfmt sheetId="1" sqref="G56" start="0" length="0">
    <dxf>
      <font>
        <b val="0"/>
        <sz val="12"/>
        <color auto="1"/>
      </font>
      <numFmt numFmtId="3" formatCode="#,##0"/>
    </dxf>
  </rfmt>
  <rcc rId="131" sId="1" odxf="1" dxf="1">
    <nc r="A57" t="inlineStr">
      <is>
        <t>Расходы на выплаты персоналу государственных (муниципальных) органов</t>
      </is>
    </nc>
    <odxf>
      <font>
        <sz val="12"/>
        <color auto="1"/>
      </font>
    </odxf>
    <ndxf>
      <font>
        <sz val="12"/>
        <color theme="1"/>
      </font>
    </ndxf>
  </rcc>
  <rcc rId="132" sId="1">
    <nc r="B57" t="inlineStr">
      <is>
        <t>902</t>
      </is>
    </nc>
  </rcc>
  <rfmt sheetId="1" sqref="C57" start="0" length="0">
    <dxf>
      <font>
        <sz val="12"/>
        <color theme="1"/>
      </font>
    </dxf>
  </rfmt>
  <rcc rId="133" sId="1">
    <nc r="D57" t="inlineStr">
      <is>
        <t>1040900190</t>
      </is>
    </nc>
  </rcc>
  <rcc rId="134" sId="1">
    <nc r="E57">
      <v>120</v>
    </nc>
  </rcc>
  <rfmt sheetId="1" sqref="G57" start="0" length="0">
    <dxf>
      <numFmt numFmtId="165" formatCode="#,##0.0"/>
    </dxf>
  </rfmt>
  <rcc rId="135" sId="1" odxf="1" dxf="1">
    <nc r="A58" t="inlineStr">
      <is>
        <t>Дополнительное профессиональное образование муниципальных служащих</t>
      </is>
    </nc>
    <odxf>
      <font>
        <sz val="12"/>
        <color auto="1"/>
      </font>
      <alignment horizontal="left" vertical="top" readingOrder="0"/>
    </odxf>
    <ndxf>
      <font>
        <sz val="12"/>
        <color theme="1"/>
      </font>
      <alignment horizontal="general" vertical="center" readingOrder="0"/>
    </ndxf>
  </rcc>
  <rcc rId="136" sId="1">
    <nc r="B58" t="inlineStr">
      <is>
        <t>902</t>
      </is>
    </nc>
  </rcc>
  <rfmt sheetId="1" sqref="C58" start="0" length="0">
    <dxf>
      <font>
        <sz val="12"/>
        <color theme="1"/>
      </font>
    </dxf>
  </rfmt>
  <rcc rId="137" sId="1">
    <nc r="D58" t="inlineStr">
      <is>
        <t>1040920400</t>
      </is>
    </nc>
  </rcc>
  <rcc rId="138" sId="1">
    <nc r="F58">
      <f>F59</f>
    </nc>
  </rcc>
  <rfmt sheetId="1" sqref="G58" start="0" length="0">
    <dxf>
      <font>
        <b val="0"/>
        <sz val="12"/>
        <color auto="1"/>
      </font>
      <numFmt numFmtId="3" formatCode="#,##0"/>
    </dxf>
  </rfmt>
  <rcc rId="139" sId="1">
    <nc r="A59" t="inlineStr">
      <is>
        <t>Иные закупки товаров, работ и услуг для обеспечения государственных (муниципальных) нужд</t>
      </is>
    </nc>
  </rcc>
  <rcc rId="140" sId="1">
    <nc r="B59" t="inlineStr">
      <is>
        <t>902</t>
      </is>
    </nc>
  </rcc>
  <rfmt sheetId="1" sqref="C59" start="0" length="0">
    <dxf>
      <font>
        <sz val="12"/>
        <color theme="1"/>
      </font>
    </dxf>
  </rfmt>
  <rcc rId="141" sId="1">
    <nc r="D59" t="inlineStr">
      <is>
        <t>1040920400</t>
      </is>
    </nc>
  </rcc>
  <rcc rId="142" sId="1">
    <nc r="E59">
      <v>240</v>
    </nc>
  </rcc>
  <rcc rId="143" sId="1" odxf="1" dxf="1">
    <nc r="C55" t="inlineStr">
      <is>
        <t>0104</t>
      </is>
    </nc>
    <ndxf>
      <font>
        <sz val="12"/>
        <color auto="1"/>
      </font>
    </ndxf>
  </rcc>
  <rcc rId="144" sId="1" odxf="1" dxf="1">
    <nc r="C56" t="inlineStr">
      <is>
        <t>0104</t>
      </is>
    </nc>
    <ndxf>
      <font>
        <sz val="12"/>
        <color auto="1"/>
      </font>
    </ndxf>
  </rcc>
  <rcc rId="145" sId="1" odxf="1" dxf="1">
    <nc r="C57" t="inlineStr">
      <is>
        <t>0104</t>
      </is>
    </nc>
    <ndxf>
      <font>
        <sz val="12"/>
        <color auto="1"/>
      </font>
    </ndxf>
  </rcc>
  <rcc rId="146" sId="1">
    <nc r="F55">
      <f>F56</f>
    </nc>
  </rcc>
  <rcc rId="147" sId="1">
    <nc r="F57">
      <f>77.7</f>
    </nc>
  </rcc>
  <rcc rId="148" sId="1" numFmtId="4">
    <nc r="G57">
      <v>77.7</v>
    </nc>
  </rcc>
  <rcc rId="149" sId="1">
    <nc r="G59" t="inlineStr">
      <is>
        <t>+32,0</t>
      </is>
    </nc>
  </rcc>
  <rcc rId="150" sId="1">
    <nc r="F59">
      <f>32</f>
    </nc>
  </rcc>
  <rrc rId="151" sId="1" ref="A58:XFD58" action="deleteRow">
    <rfmt sheetId="1" xfDxf="1" sqref="A58:XFD58" start="0" length="0">
      <dxf>
        <font>
          <color auto="1"/>
        </font>
      </dxf>
    </rfmt>
    <rcc rId="0" sId="1" dxf="1">
      <nc r="A58" t="inlineStr">
        <is>
          <t>Дополнительное профессиональное образование муниципальных служащих</t>
        </is>
      </nc>
      <ndxf>
        <font>
          <sz val="12"/>
          <color theme="1"/>
        </font>
        <fill>
          <patternFill patternType="solid">
            <bgColor theme="0"/>
          </patternFill>
        </fill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" t="inlineStr">
        <is>
          <t>902</t>
        </is>
      </nc>
      <n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8" start="0" length="0">
      <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8" t="inlineStr">
        <is>
          <t>1040920400</t>
        </is>
      </nc>
      <ndxf>
        <font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8" start="0" length="0">
      <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8">
        <f>F59</f>
      </nc>
      <n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58" start="0" length="0">
      <dxf>
        <numFmt numFmtId="4" formatCode="#,##0.00"/>
      </dxf>
    </rfmt>
  </rrc>
  <rrc rId="152" sId="1" ref="A58:XFD58" action="deleteRow">
    <rfmt sheetId="1" xfDxf="1" sqref="A58:XFD58" start="0" length="0">
      <dxf>
        <font>
          <color auto="1"/>
        </font>
      </dxf>
    </rfmt>
    <rcc rId="0" sId="1" dxf="1">
      <nc r="A58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2"/>
          <color auto="1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" t="inlineStr">
        <is>
          <t>902</t>
        </is>
      </nc>
      <n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8" start="0" length="0">
      <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8" t="inlineStr">
        <is>
          <t>1040920400</t>
        </is>
      </nc>
      <ndxf>
        <font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">
        <v>240</v>
      </nc>
      <ndxf>
        <font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">
        <f>32</f>
      </nc>
      <n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8" t="inlineStr">
        <is>
          <t>+32,0</t>
        </is>
      </nc>
      <ndxf>
        <font>
          <b/>
          <sz val="12"/>
          <color rgb="FF7030A0"/>
        </font>
        <numFmt numFmtId="30" formatCode="@"/>
        <alignment horizontal="left" readingOrder="0"/>
      </ndxf>
    </rcc>
    <rfmt sheetId="1" sqref="H58" start="0" length="0">
      <dxf>
        <numFmt numFmtId="4" formatCode="#,##0.00"/>
      </dxf>
    </rfmt>
  </rrc>
  <rrc rId="153" sId="1" ref="A55:XFD56" action="insertRow"/>
  <rcc rId="154" sId="1" odxf="1" dxf="1">
    <nc r="A55" t="inlineStr">
      <is>
        <t>Муниципальная программа "Обеспечение общественного правопорядка, противодействие преступности и незаконному обороту наркотиков в городском округе "Город Южно-Сахалинск" на 2015-2020 годы"</t>
      </is>
    </nc>
    <odxf>
      <font>
        <sz val="12"/>
        <color auto="1"/>
      </font>
    </odxf>
    <ndxf>
      <font>
        <sz val="12"/>
        <color theme="1"/>
      </font>
    </ndxf>
  </rcc>
  <rcc rId="155" sId="1">
    <nc r="B55" t="inlineStr">
      <is>
        <t>902</t>
      </is>
    </nc>
  </rcc>
  <rfmt sheetId="1" sqref="C55" start="0" length="0">
    <dxf>
      <font>
        <sz val="12"/>
        <color theme="1"/>
      </font>
    </dxf>
  </rfmt>
  <rcc rId="156" sId="1">
    <nc r="D55" t="inlineStr">
      <is>
        <t>1000000000</t>
      </is>
    </nc>
  </rcc>
  <rcc rId="157" sId="1">
    <nc r="E55" t="inlineStr">
      <is>
        <t/>
      </is>
    </nc>
  </rcc>
  <rfmt sheetId="1" sqref="G55" start="0" length="0">
    <dxf>
      <font>
        <b val="0"/>
        <sz val="12"/>
        <color auto="1"/>
      </font>
      <numFmt numFmtId="3" formatCode="#,##0"/>
    </dxf>
  </rfmt>
  <rcc rId="158" sId="1" odxf="1" dxf="1">
    <nc r="C55" t="inlineStr">
      <is>
        <t>0104</t>
      </is>
    </nc>
    <ndxf>
      <font>
        <sz val="12"/>
        <color auto="1"/>
      </font>
    </ndxf>
  </rcc>
  <rcc rId="159" sId="1">
    <nc r="F55">
      <f>F56</f>
    </nc>
  </rcc>
  <rcc rId="160" sId="1" odxf="1" dxf="1">
    <nc r="A56" t="inlineStr">
      <is>
        <t>Подпрограмма "Противодействие коррупции в администрации города Южно-Сахалинска на 2015-2020 годы"</t>
      </is>
    </nc>
    <odxf>
      <font>
        <sz val="12"/>
        <color auto="1"/>
      </font>
    </odxf>
    <ndxf>
      <font>
        <sz val="12"/>
        <color theme="1"/>
      </font>
    </ndxf>
  </rcc>
  <rcc rId="161" sId="1">
    <nc r="B56" t="inlineStr">
      <is>
        <t>902</t>
      </is>
    </nc>
  </rcc>
  <rfmt sheetId="1" sqref="C56" start="0" length="0">
    <dxf>
      <font>
        <sz val="12"/>
        <color theme="1"/>
      </font>
    </dxf>
  </rfmt>
  <rcc rId="162" sId="1">
    <nc r="D56" t="inlineStr">
      <is>
        <t>1040000000</t>
      </is>
    </nc>
  </rcc>
  <rcc rId="163" sId="1">
    <nc r="E56" t="inlineStr">
      <is>
        <t/>
      </is>
    </nc>
  </rcc>
  <rfmt sheetId="1" sqref="G56" start="0" length="0">
    <dxf>
      <font>
        <b val="0"/>
        <sz val="12"/>
        <color auto="1"/>
      </font>
      <numFmt numFmtId="3" formatCode="#,##0"/>
    </dxf>
  </rfmt>
  <rcc rId="164" sId="1" odxf="1" dxf="1">
    <nc r="C56" t="inlineStr">
      <is>
        <t>0104</t>
      </is>
    </nc>
    <ndxf>
      <font>
        <sz val="12"/>
        <color auto="1"/>
      </font>
    </ndxf>
  </rcc>
  <rcc rId="165" sId="1">
    <nc r="F56">
      <f>F57</f>
    </nc>
  </rcc>
  <rcc rId="166" sId="1">
    <oc r="F48">
      <f>F49+F60</f>
    </oc>
    <nc r="F48">
      <f>F49+F55+F60</f>
    </nc>
  </rcc>
  <rcv guid="{A1566C65-087F-49E5-974A-3CF262DD7D96}" action="delete"/>
  <rdn rId="0" localSheetId="1" customView="1" name="Z_A1566C65_087F_49E5_974A_3CF262DD7D96_.wvu.PrintArea" hidden="1" oldHidden="1">
    <formula>' '!$A$6:$F$1511</formula>
    <oldFormula>' '!$A$6:$F$1511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'!$A$10:$O$1512</formula>
    <oldFormula>' '!$A$10:$O$1512</oldFormula>
  </rdn>
  <rcv guid="{A1566C65-087F-49E5-974A-3CF262DD7D96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cc rId="1196" sId="1">
    <nc r="G770" t="inlineStr">
      <is>
        <t>-50,0</t>
      </is>
    </nc>
  </rcc>
  <rcc rId="1197" sId="1" numFmtId="4">
    <oc r="F770">
      <v>50</v>
    </oc>
    <nc r="F770">
      <f>50-50</f>
    </nc>
  </rcc>
  <rcc rId="1198" sId="1">
    <nc r="G1207" t="inlineStr">
      <is>
        <t>-25,0</t>
      </is>
    </nc>
  </rcc>
  <rcc rId="1199" sId="1" numFmtId="4">
    <oc r="F1207">
      <v>25</v>
    </oc>
    <nc r="F1207">
      <f>25-25</f>
    </nc>
  </rcc>
  <rrc rId="1200" sId="1" ref="A1162:XFD1166" action="insertRow"/>
  <rcc rId="1201" sId="1">
    <nc r="A1162" t="inlineStr">
      <is>
        <t>Профессиональная подготовка, переподготовка и повышение квалификации</t>
      </is>
    </nc>
  </rcc>
  <rfmt sheetId="1" sqref="B1162" start="0" length="0">
    <dxf>
      <fill>
        <patternFill patternType="none">
          <bgColor indexed="65"/>
        </patternFill>
      </fill>
    </dxf>
  </rfmt>
  <rcc rId="1202" sId="1">
    <nc r="C1162" t="inlineStr">
      <is>
        <t>0705</t>
      </is>
    </nc>
  </rcc>
  <rfmt sheetId="1" sqref="E1162" start="0" length="0">
    <dxf>
      <font>
        <sz val="12"/>
        <color theme="1"/>
      </font>
      <alignment vertical="top" readingOrder="0"/>
    </dxf>
  </rfmt>
  <rcc rId="1203" sId="1">
    <nc r="F1162">
      <f>F1163</f>
    </nc>
  </rcc>
  <rfmt sheetId="1" sqref="G1162" start="0" length="0">
    <dxf>
      <font>
        <b val="0"/>
        <sz val="12"/>
        <color auto="1"/>
      </font>
      <numFmt numFmtId="3" formatCode="#,##0"/>
    </dxf>
  </rfmt>
  <rcc rId="1204" sId="1">
    <nc r="A1163" t="inlineStr">
      <is>
        <t>Муниципальная программа "Реформирование и развитие системы муниципальной службы в администрации города Южно-Сахалинска (2015-2020 годы)"</t>
      </is>
    </nc>
  </rcc>
  <rfmt sheetId="1" sqref="B1163" start="0" length="0">
    <dxf>
      <fill>
        <patternFill patternType="none">
          <bgColor indexed="65"/>
        </patternFill>
      </fill>
    </dxf>
  </rfmt>
  <rcc rId="1205" sId="1">
    <nc r="C1163" t="inlineStr">
      <is>
        <t>0705</t>
      </is>
    </nc>
  </rcc>
  <rcc rId="1206" sId="1">
    <nc r="D1163" t="inlineStr">
      <is>
        <t>0300000000</t>
      </is>
    </nc>
  </rcc>
  <rcc rId="1207" sId="1" odxf="1" dxf="1">
    <nc r="E1163" t="inlineStr">
      <is>
        <t/>
      </is>
    </nc>
    <odxf>
      <font>
        <sz val="12"/>
        <color auto="1"/>
      </font>
      <alignment vertical="center" readingOrder="0"/>
    </odxf>
    <ndxf>
      <font>
        <sz val="12"/>
        <color theme="1"/>
      </font>
      <alignment vertical="top" readingOrder="0"/>
    </ndxf>
  </rcc>
  <rcc rId="1208" sId="1">
    <nc r="F1163">
      <f>F1164</f>
    </nc>
  </rcc>
  <rfmt sheetId="1" sqref="G1163" start="0" length="0">
    <dxf>
      <font>
        <b val="0"/>
        <sz val="12"/>
        <color auto="1"/>
      </font>
      <numFmt numFmtId="3" formatCode="#,##0"/>
    </dxf>
  </rfmt>
  <rcc rId="1209" sId="1">
    <nc r="A1164" t="inlineStr">
      <is>
        <t>Дополнительное образование муниципальных служащих</t>
      </is>
    </nc>
  </rcc>
  <rfmt sheetId="1" sqref="B1164" start="0" length="0">
    <dxf>
      <fill>
        <patternFill patternType="none">
          <bgColor indexed="65"/>
        </patternFill>
      </fill>
    </dxf>
  </rfmt>
  <rcc rId="1210" sId="1">
    <nc r="C1164" t="inlineStr">
      <is>
        <t>0705</t>
      </is>
    </nc>
  </rcc>
  <rcc rId="1211" sId="1">
    <nc r="D1164" t="inlineStr">
      <is>
        <t>0300200000</t>
      </is>
    </nc>
  </rcc>
  <rcc rId="1212" sId="1" odxf="1" dxf="1">
    <nc r="E1164" t="inlineStr">
      <is>
        <t/>
      </is>
    </nc>
    <odxf>
      <font>
        <sz val="12"/>
        <color auto="1"/>
      </font>
      <alignment vertical="center" readingOrder="0"/>
    </odxf>
    <ndxf>
      <font>
        <sz val="12"/>
        <color theme="1"/>
      </font>
      <alignment vertical="top" readingOrder="0"/>
    </ndxf>
  </rcc>
  <rcc rId="1213" sId="1">
    <nc r="F1164">
      <f>F1165</f>
    </nc>
  </rcc>
  <rfmt sheetId="1" sqref="G1164" start="0" length="0">
    <dxf>
      <font>
        <b val="0"/>
        <sz val="12"/>
        <color auto="1"/>
      </font>
      <numFmt numFmtId="165" formatCode="#,##0.0"/>
    </dxf>
  </rfmt>
  <rcc rId="1214" sId="1" odxf="1" dxf="1">
    <nc r="A1165" t="inlineStr">
      <is>
        <t>Дополнительное профессиональное образование муниципальных служащих</t>
      </is>
    </nc>
    <odxf>
      <alignment horizontal="left" vertical="top" readingOrder="0"/>
    </odxf>
    <ndxf>
      <alignment horizontal="general" vertical="center" readingOrder="0"/>
    </ndxf>
  </rcc>
  <rfmt sheetId="1" sqref="B1165" start="0" length="0">
    <dxf>
      <fill>
        <patternFill patternType="none">
          <bgColor indexed="65"/>
        </patternFill>
      </fill>
    </dxf>
  </rfmt>
  <rcc rId="1215" sId="1">
    <nc r="C1165" t="inlineStr">
      <is>
        <t>0705</t>
      </is>
    </nc>
  </rcc>
  <rcc rId="1216" sId="1">
    <nc r="D1165" t="inlineStr">
      <is>
        <t>0300220400</t>
      </is>
    </nc>
  </rcc>
  <rfmt sheetId="1" sqref="E1165" start="0" length="0">
    <dxf>
      <font>
        <sz val="12"/>
        <color theme="1"/>
      </font>
      <alignment vertical="top" readingOrder="0"/>
    </dxf>
  </rfmt>
  <rcc rId="1217" sId="1">
    <nc r="F1165">
      <f>F1166</f>
    </nc>
  </rcc>
  <rfmt sheetId="1" sqref="G1165" start="0" length="0">
    <dxf>
      <font>
        <sz val="12"/>
        <color rgb="FF7030A0"/>
      </font>
      <numFmt numFmtId="30" formatCode="@"/>
    </dxf>
  </rfmt>
  <rcc rId="1218" sId="1" odxf="1" dxf="1">
    <nc r="A1166" t="inlineStr">
      <is>
        <t>Иные закупки товаров, работ и услуг для обеспечения государственных (муниципальных) нужд</t>
      </is>
    </nc>
    <odxf>
      <font>
        <sz val="12"/>
        <color theme="1"/>
      </font>
    </odxf>
    <ndxf>
      <font>
        <sz val="12"/>
        <color auto="1"/>
      </font>
    </ndxf>
  </rcc>
  <rfmt sheetId="1" sqref="B1166" start="0" length="0">
    <dxf>
      <fill>
        <patternFill patternType="none">
          <bgColor indexed="65"/>
        </patternFill>
      </fill>
    </dxf>
  </rfmt>
  <rcc rId="1219" sId="1">
    <nc r="C1166" t="inlineStr">
      <is>
        <t>0705</t>
      </is>
    </nc>
  </rcc>
  <rcc rId="1220" sId="1">
    <nc r="D1166" t="inlineStr">
      <is>
        <t>0300220400</t>
      </is>
    </nc>
  </rcc>
  <rcc rId="1221" sId="1" odxf="1" dxf="1">
    <nc r="E1166">
      <v>240</v>
    </nc>
    <odxf>
      <font>
        <sz val="12"/>
        <color auto="1"/>
      </font>
      <alignment vertical="center" readingOrder="0"/>
    </odxf>
    <ndxf>
      <font>
        <sz val="12"/>
        <color theme="1"/>
      </font>
      <alignment vertical="top" readingOrder="0"/>
    </ndxf>
  </rcc>
  <rcc rId="1222" sId="1">
    <nc r="F1166">
      <f>25</f>
    </nc>
  </rcc>
  <rcc rId="1223" sId="1" odxf="1" dxf="1">
    <nc r="G1166" t="inlineStr">
      <is>
        <t>+25,0</t>
      </is>
    </nc>
    <odxf>
      <font>
        <sz val="12"/>
        <color rgb="FFFF0000"/>
      </font>
      <numFmt numFmtId="169" formatCode="\+0.0"/>
    </odxf>
    <ndxf>
      <font>
        <sz val="12"/>
        <color rgb="FF7030A0"/>
      </font>
      <numFmt numFmtId="30" formatCode="@"/>
    </ndxf>
  </rcc>
  <rcc rId="1224" sId="1" odxf="1" dxf="1">
    <nc r="B1162" t="inlineStr">
      <is>
        <t>913</t>
      </is>
    </nc>
    <ndxf>
      <fill>
        <patternFill patternType="solid">
          <bgColor theme="0"/>
        </patternFill>
      </fill>
    </ndxf>
  </rcc>
  <rcc rId="1225" sId="1" odxf="1" dxf="1">
    <nc r="B1163" t="inlineStr">
      <is>
        <t>913</t>
      </is>
    </nc>
    <ndxf>
      <fill>
        <patternFill patternType="solid">
          <bgColor theme="0"/>
        </patternFill>
      </fill>
    </ndxf>
  </rcc>
  <rcc rId="1226" sId="1" odxf="1" dxf="1">
    <nc r="B1164" t="inlineStr">
      <is>
        <t>913</t>
      </is>
    </nc>
    <ndxf>
      <fill>
        <patternFill patternType="solid">
          <bgColor theme="0"/>
        </patternFill>
      </fill>
    </ndxf>
  </rcc>
  <rcc rId="1227" sId="1" odxf="1" dxf="1">
    <nc r="B1165" t="inlineStr">
      <is>
        <t>913</t>
      </is>
    </nc>
    <ndxf>
      <fill>
        <patternFill patternType="solid">
          <bgColor theme="0"/>
        </patternFill>
      </fill>
    </ndxf>
  </rcc>
  <rcc rId="1228" sId="1" odxf="1" dxf="1">
    <nc r="B1166" t="inlineStr">
      <is>
        <t>913</t>
      </is>
    </nc>
    <ndxf>
      <fill>
        <patternFill patternType="solid">
          <bgColor theme="0"/>
        </patternFill>
      </fill>
    </ndxf>
  </rcc>
  <rcc rId="1229" sId="1">
    <oc r="F1148">
      <f>F1149+F1167</f>
    </oc>
    <nc r="F1148">
      <f>F1149+F1167+F1162</f>
    </nc>
  </rcc>
  <rcv guid="{A1566C65-087F-49E5-974A-3CF262DD7D96}" action="delete"/>
  <rdn rId="0" localSheetId="1" customView="1" name="Z_A1566C65_087F_49E5_974A_3CF262DD7D96_.wvu.PrintArea" hidden="1" oldHidden="1">
    <formula>январь!$A$6:$F$1604</formula>
    <oldFormula>январь!$A$6:$F$1604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январь!$A$10:$O$1605</formula>
    <oldFormula>январь!$A$10:$O$1605</oldFormula>
  </rdn>
  <rcv guid="{A1566C65-087F-49E5-974A-3CF262DD7D96}" action="add"/>
</revisions>
</file>

<file path=xl/revisions/revisionLog1321.xml><?xml version="1.0" encoding="utf-8"?>
<revisions xmlns="http://schemas.openxmlformats.org/spreadsheetml/2006/main" xmlns:r="http://schemas.openxmlformats.org/officeDocument/2006/relationships">
  <rcc rId="304" sId="1">
    <oc r="B1751">
      <f>B1752+B1773+B1824+B1848+B1799</f>
    </oc>
    <nc r="B1751">
      <f>B1752+B1773+B1824+B1848+B1799+B1821</f>
    </nc>
  </rcc>
  <rcc rId="305" sId="1">
    <oc r="F1751">
      <f>B1751-D1751</f>
    </oc>
    <nc r="F1751">
      <f>B1751-D1751</f>
    </nc>
  </rcc>
  <rcv guid="{A1566C65-087F-49E5-974A-3CF262DD7D96}" action="delete"/>
  <rdn rId="0" localSheetId="1" customView="1" name="Z_A1566C65_087F_49E5_974A_3CF262DD7D96_.wvu.PrintArea" hidden="1" oldHidden="1">
    <formula>' '!$A$6:$F$1521</formula>
    <oldFormula>' '!$A$6:$F$1521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'!$A$10:$O$1522</formula>
    <oldFormula>' '!$A$10:$O$1522</oldFormula>
  </rdn>
  <rcv guid="{A1566C65-087F-49E5-974A-3CF262DD7D96}" action="add"/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5" sId="1">
    <nc r="B2106">
      <f>F1600</f>
    </nc>
  </rcc>
  <rcc rId="1556" sId="1">
    <oc r="B2100">
      <f>SUM(B2101:B2108)</f>
    </oc>
    <nc r="B2100">
      <f>SUM(B2101:B2108)</f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cc rId="1557" sId="1">
    <nc r="G567" t="inlineStr">
      <is>
        <t xml:space="preserve"> - 1 311,0</t>
      </is>
    </nc>
  </rcc>
  <rcc rId="1558" sId="1" numFmtId="4">
    <oc r="F567">
      <v>1311</v>
    </oc>
    <nc r="F567">
      <f>1311-1311</f>
    </nc>
  </rcc>
  <rcc rId="1559" sId="1">
    <nc r="G582" t="inlineStr">
      <is>
        <t>+ 1 311,0</t>
      </is>
    </nc>
  </rcc>
  <rcc rId="1560" sId="1">
    <oc r="F582">
      <f>30000-1311</f>
    </oc>
    <nc r="F582">
      <f>30000-1311+1311</f>
    </nc>
  </rcc>
  <rcc rId="1561" sId="1">
    <nc r="G540" t="inlineStr">
      <is>
        <t>-237,0</t>
      </is>
    </nc>
  </rcc>
  <rcc rId="1562" sId="1" numFmtId="4">
    <oc r="F540">
      <v>3462</v>
    </oc>
    <nc r="F540">
      <f>3462-237</f>
    </nc>
  </rcc>
  <rrc rId="1563" sId="1" ref="A583:XFD585" action="insertRow"/>
  <rcc rId="1564" sId="1">
    <nc r="A585" t="inlineStr">
      <is>
        <t xml:space="preserve">Субсидии юридическим лицам (кроме некоммерческих организаций), индивидуальным предпринимателям, физическим лицам </t>
      </is>
    </nc>
  </rcc>
  <rcc rId="1565" sId="1">
    <nc r="B585" t="inlineStr">
      <is>
        <t>902</t>
      </is>
    </nc>
  </rcc>
  <rcc rId="1566" sId="1">
    <nc r="C585" t="inlineStr">
      <is>
        <t>1003</t>
      </is>
    </nc>
  </rcc>
  <rcc rId="1567" sId="1" numFmtId="4">
    <nc r="E585">
      <v>810</v>
    </nc>
  </rcc>
  <rcc rId="1568" sId="1">
    <nc r="F585">
      <f>237</f>
    </nc>
  </rcc>
  <rcc rId="1569" sId="1">
    <nc r="G585" t="inlineStr">
      <is>
        <t>+237,0</t>
      </is>
    </nc>
  </rcc>
  <rcc rId="1570" sId="1">
    <nc r="D585" t="inlineStr">
      <is>
        <t>1621880510</t>
      </is>
    </nc>
  </rcc>
  <rcc rId="1571" sId="1">
    <nc r="B584" t="inlineStr">
      <is>
        <t>902</t>
      </is>
    </nc>
  </rcc>
  <rcc rId="1572" sId="1">
    <nc r="C584" t="inlineStr">
      <is>
        <t>1003</t>
      </is>
    </nc>
  </rcc>
  <rcc rId="1573" sId="1">
    <nc r="D584" t="inlineStr">
      <is>
        <t>1621880510</t>
      </is>
    </nc>
  </rcc>
  <rcc rId="1574" sId="1">
    <nc r="B583" t="inlineStr">
      <is>
        <t>902</t>
      </is>
    </nc>
  </rcc>
  <rcc rId="1575" sId="1">
    <nc r="C583" t="inlineStr">
      <is>
        <t>1003</t>
      </is>
    </nc>
  </rcc>
  <rcc rId="1576" sId="1">
    <nc r="D583" t="inlineStr">
      <is>
        <t>1621800000</t>
      </is>
    </nc>
  </rcc>
  <rcc rId="1577" sId="1">
    <nc r="F584">
      <f>F585</f>
    </nc>
  </rcc>
  <rcc rId="1578" sId="1">
    <nc r="F583">
      <f>F584</f>
    </nc>
  </rcc>
  <rcc rId="1579" sId="1">
    <oc r="F537">
      <f>F538+F541+F544+F547+F550+F553+F556+F559+F562+F565+F568+F571+F574+F577+F580</f>
    </oc>
    <nc r="F537">
      <f>F538+F541+F544+F547+F550+F553+F556+F559+F562+F565+F568+F571+F574+F577+F580+F583</f>
    </nc>
  </rcc>
  <rrc rId="1580" sId="1" ref="A2065:XFD2065" action="insertRow"/>
  <rcc rId="1581" sId="1">
    <nc r="A2065" t="inlineStr">
      <is>
        <t>1003                    1621880510</t>
      </is>
    </nc>
  </rcc>
  <rcc rId="1582" sId="1">
    <nc r="B2065">
      <f>F584</f>
    </nc>
  </rcc>
  <rcc rId="1583" sId="1" numFmtId="4">
    <nc r="D2065">
      <v>0</v>
    </nc>
  </rcc>
  <rcc rId="1584" sId="1">
    <nc r="F2065">
      <f>B2065-D2065</f>
    </nc>
  </rcc>
  <rcc rId="1585" sId="1">
    <oc r="B2026">
      <f>SUM(B2027:B2074)</f>
    </oc>
    <nc r="B2026">
      <f>SUM(B2027:B2074)</f>
    </nc>
  </rcc>
  <rcv guid="{A1566C65-087F-49E5-974A-3CF262DD7D96}" action="delete"/>
  <rdn rId="0" localSheetId="1" customView="1" name="Z_A1566C65_087F_49E5_974A_3CF262DD7D96_.wvu.PrintArea" hidden="1" oldHidden="1">
    <formula>январь!$A$6:$F$1630</formula>
    <oldFormula>январь!$A$6:$F$1630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январь!$A$10:$O$1631</formula>
    <oldFormula>январь!$A$10:$O$1631</oldFormula>
  </rdn>
  <rcv guid="{A1566C65-087F-49E5-974A-3CF262DD7D96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9" sId="1" numFmtId="4">
    <oc r="F1604">
      <v>8928</v>
    </oc>
    <nc r="F1604">
      <f>8928+2628</f>
    </nc>
  </rcc>
  <rfmt sheetId="1" sqref="H1604" start="0" length="2147483647">
    <dxf>
      <font>
        <b/>
      </font>
    </dxf>
  </rfmt>
  <rfmt sheetId="1" sqref="H1604" start="0" length="2147483647">
    <dxf>
      <font>
        <sz val="12"/>
      </font>
    </dxf>
  </rfmt>
  <rcc rId="1590" sId="1" odxf="1" dxf="1" numFmtId="4">
    <nc r="H1604">
      <v>2628</v>
    </nc>
    <ndxf>
      <font>
        <sz val="12"/>
        <color rgb="FFFF0000"/>
      </font>
      <numFmt numFmtId="169" formatCode="\+0.0"/>
      <alignment horizontal="left" readingOrder="0"/>
    </ndxf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1" sId="1">
    <oc r="F1595">
      <f>26386.6+12354.6+323.4</f>
    </oc>
    <nc r="F1595">
      <f>26386.6+12354.6+323.4+5054.1</f>
    </nc>
  </rcc>
  <rfmt sheetId="1" sqref="I1595">
    <dxf>
      <alignment horizontal="left" readingOrder="0"/>
    </dxf>
  </rfmt>
  <rcc rId="1592" sId="1" odxf="1" dxf="1" numFmtId="4">
    <nc r="I1595">
      <v>5054.1000000000004</v>
    </nc>
    <ndxf>
      <font>
        <b/>
        <sz val="12"/>
        <color rgb="FFFF0000"/>
      </font>
      <numFmt numFmtId="169" formatCode="\+0.0"/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3" sId="1">
    <nc r="D456" t="inlineStr">
      <is>
        <t>01703S3500</t>
      </is>
    </nc>
  </rcc>
  <rrc rId="1594" sId="1" ref="A458:XFD459" action="insertRow"/>
  <rcc rId="1595" sId="1">
    <nc r="A458" t="inlineStr">
      <is>
        <t>Софинансирование субсидии областного бюджета на софинансирование капитальных вложений в объекты муниципальной собственности</t>
      </is>
    </nc>
  </rcc>
  <rcc rId="1596" sId="1">
    <nc r="B458">
      <v>902</v>
    </nc>
  </rcc>
  <rcc rId="1597" sId="1">
    <nc r="C458" t="inlineStr">
      <is>
        <t>0701</t>
      </is>
    </nc>
  </rcc>
  <rcc rId="1598" sId="1">
    <nc r="D458" t="inlineStr">
      <is>
        <t>01703S3500</t>
      </is>
    </nc>
  </rcc>
  <rcc rId="1599" sId="1">
    <nc r="F458">
      <f>F459</f>
    </nc>
  </rcc>
  <rcc rId="1600" sId="1">
    <nc r="B459">
      <v>902</v>
    </nc>
  </rcc>
  <rcc rId="1601" sId="1">
    <nc r="C459" t="inlineStr">
      <is>
        <t>0701</t>
      </is>
    </nc>
  </rcc>
  <rcc rId="1602" sId="1">
    <nc r="D459" t="inlineStr">
      <is>
        <t>01703S3500</t>
      </is>
    </nc>
  </rcc>
  <rcc rId="1603" sId="1">
    <nc r="E459">
      <v>414</v>
    </nc>
  </rcc>
  <rcc rId="1604" sId="1" numFmtId="4">
    <nc r="F459">
      <v>1159.2</v>
    </nc>
  </rcc>
  <rcc rId="1605" sId="1">
    <nc r="A459" t="inlineStr">
      <is>
        <t>Бюджетные инвестиции в объекты капитального строительства государственной (муниципальной) собственности</t>
      </is>
    </nc>
  </rcc>
  <rcc rId="1606" sId="1">
    <oc r="F453">
      <f>F454+F456</f>
    </oc>
    <nc r="F453">
      <f>F454+F456+F458</f>
    </nc>
  </rcc>
  <rcc rId="1607" sId="1">
    <nc r="G459" t="inlineStr">
      <is>
        <t>1159,2</t>
      </is>
    </nc>
  </rcc>
</revisions>
</file>

<file path=xl/revisions/revisionLog137.xml><?xml version="1.0" encoding="utf-8"?>
<revisions xmlns="http://schemas.openxmlformats.org/spreadsheetml/2006/main" xmlns:r="http://schemas.openxmlformats.org/officeDocument/2006/relationships">
  <rrc rId="1233" sId="1" ref="A802:XFD807" action="insertRow"/>
  <rcc rId="1234" sId="1" odxf="1" dxf="1">
    <nc r="A802" t="inlineStr">
      <is>
        <t>ОБРАЗОВАНИЕ</t>
      </is>
    </nc>
    <odxf>
      <font>
        <b val="0"/>
        <sz val="12"/>
        <color auto="1"/>
      </font>
    </odxf>
    <ndxf>
      <font>
        <b/>
        <sz val="12"/>
        <color theme="1"/>
      </font>
    </ndxf>
  </rcc>
  <rfmt sheetId="1" sqref="B802" start="0" length="0">
    <dxf>
      <font>
        <b/>
        <sz val="12"/>
        <color theme="1"/>
      </font>
    </dxf>
  </rfmt>
  <rcc rId="1235" sId="1" odxf="1" dxf="1">
    <nc r="C802" t="inlineStr">
      <is>
        <t>0700</t>
      </is>
    </nc>
    <odxf>
      <font>
        <b val="0"/>
        <sz val="12"/>
        <color theme="1"/>
      </font>
    </odxf>
    <ndxf>
      <font>
        <b/>
        <sz val="12"/>
        <color theme="1"/>
      </font>
    </ndxf>
  </rcc>
  <rcc rId="1236" sId="1">
    <nc r="D802" t="inlineStr">
      <is>
        <t/>
      </is>
    </nc>
  </rcc>
  <rcc rId="1237" sId="1">
    <nc r="E802" t="inlineStr">
      <is>
        <t/>
      </is>
    </nc>
  </rcc>
  <rcc rId="1238" sId="1" odxf="1" dxf="1">
    <nc r="F802">
      <f>F803</f>
    </nc>
    <odxf>
      <font>
        <b val="0"/>
        <sz val="12"/>
        <color theme="1"/>
      </font>
    </odxf>
    <ndxf>
      <font>
        <b/>
        <sz val="12"/>
        <color auto="1"/>
      </font>
    </ndxf>
  </rcc>
  <rfmt sheetId="1" sqref="G802" start="0" length="0">
    <dxf>
      <font>
        <b val="0"/>
        <sz val="12"/>
        <color auto="1"/>
      </font>
    </dxf>
  </rfmt>
  <rfmt sheetId="1" sqref="H802" start="0" length="0">
    <dxf>
      <font>
        <color auto="1"/>
      </font>
    </dxf>
  </rfmt>
  <rcc rId="1239" sId="1" odxf="1" dxf="1">
    <nc r="A803" t="inlineStr">
      <is>
        <t>Профессиональная подготовка, переподготовка и повышение квалификации</t>
      </is>
    </nc>
    <odxf>
      <font>
        <sz val="12"/>
        <color auto="1"/>
      </font>
    </odxf>
    <ndxf>
      <font>
        <sz val="12"/>
        <color theme="1"/>
      </font>
    </ndxf>
  </rcc>
  <rcc rId="1240" sId="1" odxf="1" dxf="1">
    <nc r="C803" t="inlineStr">
      <is>
        <t>0705</t>
      </is>
    </nc>
    <odxf>
      <numFmt numFmtId="0" formatCode="General"/>
    </odxf>
    <ndxf>
      <numFmt numFmtId="30" formatCode="@"/>
    </ndxf>
  </rcc>
  <rcc rId="1241" sId="1" odxf="1" dxf="1">
    <nc r="F803">
      <f>F804</f>
    </nc>
    <odxf>
      <font>
        <sz val="12"/>
        <color theme="1"/>
      </font>
    </odxf>
    <ndxf>
      <font>
        <sz val="12"/>
        <color auto="1"/>
      </font>
    </ndxf>
  </rcc>
  <rfmt sheetId="1" sqref="G803" start="0" length="0">
    <dxf>
      <font>
        <b val="0"/>
        <sz val="12"/>
        <color auto="1"/>
      </font>
      <numFmt numFmtId="3" formatCode="#,##0"/>
    </dxf>
  </rfmt>
  <rfmt sheetId="1" sqref="H803" start="0" length="0">
    <dxf>
      <font>
        <color auto="1"/>
      </font>
    </dxf>
  </rfmt>
  <rcc rId="1242" sId="1" odxf="1" dxf="1">
    <nc r="A804" t="inlineStr">
      <is>
        <t>Муниципальная программа "Реформирование и развитие системы муниципальной службы в администрации города Южно-Сахалинска (2015-2020 годы)"</t>
      </is>
    </nc>
    <odxf>
      <font>
        <sz val="12"/>
        <color auto="1"/>
      </font>
    </odxf>
    <ndxf>
      <font>
        <sz val="12"/>
        <color theme="1"/>
      </font>
    </ndxf>
  </rcc>
  <rcc rId="1243" sId="1" odxf="1" dxf="1">
    <nc r="C804" t="inlineStr">
      <is>
        <t>0705</t>
      </is>
    </nc>
    <odxf>
      <numFmt numFmtId="0" formatCode="General"/>
    </odxf>
    <ndxf>
      <numFmt numFmtId="30" formatCode="@"/>
    </ndxf>
  </rcc>
  <rcc rId="1244" sId="1">
    <nc r="D804" t="inlineStr">
      <is>
        <t>0300000000</t>
      </is>
    </nc>
  </rcc>
  <rcc rId="1245" sId="1">
    <nc r="E804" t="inlineStr">
      <is>
        <t/>
      </is>
    </nc>
  </rcc>
  <rcc rId="1246" sId="1" odxf="1" dxf="1">
    <nc r="F804">
      <f>F805</f>
    </nc>
    <odxf>
      <font>
        <sz val="12"/>
        <color theme="1"/>
      </font>
    </odxf>
    <ndxf>
      <font>
        <sz val="12"/>
        <color auto="1"/>
      </font>
    </ndxf>
  </rcc>
  <rfmt sheetId="1" sqref="G804" start="0" length="0">
    <dxf>
      <font>
        <b val="0"/>
        <sz val="12"/>
        <color auto="1"/>
      </font>
      <numFmt numFmtId="3" formatCode="#,##0"/>
    </dxf>
  </rfmt>
  <rfmt sheetId="1" sqref="H804" start="0" length="0">
    <dxf>
      <font>
        <color auto="1"/>
      </font>
    </dxf>
  </rfmt>
  <rcc rId="1247" sId="1" odxf="1" dxf="1">
    <nc r="A805" t="inlineStr">
      <is>
        <t>Дополнительное образование муниципальных служащих</t>
      </is>
    </nc>
    <odxf>
      <font>
        <sz val="12"/>
        <color auto="1"/>
      </font>
    </odxf>
    <ndxf>
      <font>
        <sz val="12"/>
        <color theme="1"/>
      </font>
    </ndxf>
  </rcc>
  <rcc rId="1248" sId="1" odxf="1" dxf="1">
    <nc r="C805" t="inlineStr">
      <is>
        <t>0705</t>
      </is>
    </nc>
    <odxf>
      <numFmt numFmtId="0" formatCode="General"/>
    </odxf>
    <ndxf>
      <numFmt numFmtId="30" formatCode="@"/>
    </ndxf>
  </rcc>
  <rcc rId="1249" sId="1">
    <nc r="D805" t="inlineStr">
      <is>
        <t>0300200000</t>
      </is>
    </nc>
  </rcc>
  <rcc rId="1250" sId="1">
    <nc r="E805" t="inlineStr">
      <is>
        <t/>
      </is>
    </nc>
  </rcc>
  <rcc rId="1251" sId="1" odxf="1" dxf="1">
    <nc r="F805">
      <f>F806</f>
    </nc>
    <odxf>
      <font>
        <sz val="12"/>
        <color theme="1"/>
      </font>
    </odxf>
    <ndxf>
      <font>
        <sz val="12"/>
        <color auto="1"/>
      </font>
    </ndxf>
  </rcc>
  <rfmt sheetId="1" sqref="G805" start="0" length="0">
    <dxf>
      <font>
        <b val="0"/>
        <sz val="12"/>
        <color auto="1"/>
      </font>
      <numFmt numFmtId="165" formatCode="#,##0.0"/>
    </dxf>
  </rfmt>
  <rfmt sheetId="1" sqref="H805" start="0" length="0">
    <dxf>
      <font>
        <color auto="1"/>
      </font>
    </dxf>
  </rfmt>
  <rcc rId="1252" sId="1" odxf="1" dxf="1">
    <nc r="A806" t="inlineStr">
      <is>
        <t>Дополнительное профессиональное образование муниципальных служащих</t>
      </is>
    </nc>
    <odxf>
      <font>
        <sz val="12"/>
        <color auto="1"/>
      </font>
      <alignment horizontal="left" vertical="top" readingOrder="0"/>
    </odxf>
    <ndxf>
      <font>
        <sz val="12"/>
        <color theme="1"/>
      </font>
      <alignment horizontal="general" vertical="center" readingOrder="0"/>
    </ndxf>
  </rcc>
  <rcc rId="1253" sId="1" odxf="1" dxf="1">
    <nc r="C806" t="inlineStr">
      <is>
        <t>0705</t>
      </is>
    </nc>
    <odxf>
      <numFmt numFmtId="0" formatCode="General"/>
    </odxf>
    <ndxf>
      <numFmt numFmtId="30" formatCode="@"/>
    </ndxf>
  </rcc>
  <rcc rId="1254" sId="1">
    <nc r="D806" t="inlineStr">
      <is>
        <t>0300220400</t>
      </is>
    </nc>
  </rcc>
  <rcc rId="1255" sId="1" odxf="1" dxf="1">
    <nc r="F806">
      <f>F807</f>
    </nc>
    <odxf>
      <font>
        <sz val="12"/>
        <color theme="1"/>
      </font>
    </odxf>
    <ndxf>
      <font>
        <sz val="12"/>
        <color auto="1"/>
      </font>
    </ndxf>
  </rcc>
  <rfmt sheetId="1" sqref="G806" start="0" length="0">
    <dxf>
      <font>
        <sz val="12"/>
        <color rgb="FF7030A0"/>
      </font>
    </dxf>
  </rfmt>
  <rfmt sheetId="1" sqref="H806" start="0" length="0">
    <dxf>
      <font>
        <color auto="1"/>
      </font>
    </dxf>
  </rfmt>
  <rcc rId="1256" sId="1">
    <nc r="A807" t="inlineStr">
      <is>
        <t>Иные закупки товаров, работ и услуг для обеспечения государственных (муниципальных) нужд</t>
      </is>
    </nc>
  </rcc>
  <rcc rId="1257" sId="1" odxf="1" dxf="1">
    <nc r="C807" t="inlineStr">
      <is>
        <t>0705</t>
      </is>
    </nc>
    <odxf>
      <numFmt numFmtId="0" formatCode="General"/>
    </odxf>
    <ndxf>
      <numFmt numFmtId="30" formatCode="@"/>
    </ndxf>
  </rcc>
  <rcc rId="1258" sId="1">
    <nc r="D807" t="inlineStr">
      <is>
        <t>0300220400</t>
      </is>
    </nc>
  </rcc>
  <rcc rId="1259" sId="1">
    <nc r="E807">
      <v>240</v>
    </nc>
  </rcc>
  <rfmt sheetId="1" sqref="F807" start="0" length="0">
    <dxf>
      <font>
        <sz val="12"/>
        <color auto="1"/>
      </font>
    </dxf>
  </rfmt>
  <rfmt sheetId="1" sqref="G807" start="0" length="0">
    <dxf>
      <font>
        <sz val="12"/>
        <color rgb="FF7030A0"/>
      </font>
    </dxf>
  </rfmt>
  <rfmt sheetId="1" sqref="H807" start="0" length="0">
    <dxf>
      <font>
        <color auto="1"/>
      </font>
    </dxf>
  </rfmt>
  <rcc rId="1260" sId="1">
    <nc r="B802">
      <v>905</v>
    </nc>
  </rcc>
  <rcc rId="1261" sId="1">
    <nc r="B803">
      <v>905</v>
    </nc>
  </rcc>
  <rcc rId="1262" sId="1">
    <nc r="B804">
      <v>905</v>
    </nc>
  </rcc>
  <rcc rId="1263" sId="1">
    <nc r="B805">
      <v>905</v>
    </nc>
  </rcc>
  <rcc rId="1264" sId="1">
    <nc r="B806">
      <v>905</v>
    </nc>
  </rcc>
  <rcc rId="1265" sId="1">
    <nc r="B807">
      <v>905</v>
    </nc>
  </rcc>
  <rcc rId="1266" sId="1">
    <nc r="G807" t="inlineStr">
      <is>
        <t>+50,0</t>
      </is>
    </nc>
  </rcc>
  <rcc rId="1267" sId="1">
    <nc r="F807">
      <f>50</f>
    </nc>
  </rcc>
  <rcc rId="1268" sId="1">
    <oc r="F764">
      <f>F765+F789+F795</f>
    </oc>
    <nc r="F764">
      <f>F765+F789+F795+F802</f>
    </nc>
  </rcc>
  <rcv guid="{A1566C65-087F-49E5-974A-3CF262DD7D96}" action="delete"/>
  <rdn rId="0" localSheetId="1" customView="1" name="Z_A1566C65_087F_49E5_974A_3CF262DD7D96_.wvu.PrintArea" hidden="1" oldHidden="1">
    <formula>январь!$A$6:$F$1610</formula>
    <oldFormula>январь!$A$6:$F$1610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январь!$A$10:$O$1611</formula>
    <oldFormula>январь!$A$10:$O$1611</oldFormula>
  </rdn>
  <rcv guid="{A1566C65-087F-49E5-974A-3CF262DD7D96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13" sId="1">
    <oc r="F472">
      <f>343315.9</f>
    </oc>
    <nc r="F472">
      <f>343315.9+237</f>
    </nc>
  </rcc>
  <rcc rId="1614" sId="1">
    <nc r="G472" t="inlineStr">
      <is>
        <t>237</t>
      </is>
    </nc>
  </rcc>
  <rcc rId="1615" sId="1">
    <oc r="F475">
      <f>37505.8-261.1-2377.7</f>
    </oc>
    <nc r="F475">
      <f>37505.8-261.1-2377.7+6048.3</f>
    </nc>
  </rcc>
  <rcc rId="1616" sId="1">
    <nc r="G475" t="inlineStr">
      <is>
        <t>6048,3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17" sId="1">
    <oc r="F418">
      <f>49075.8-2540+2540</f>
    </oc>
    <nc r="F418">
      <f>49075.8-2540+2540+100</f>
    </nc>
  </rcc>
  <rcc rId="1618" sId="1">
    <nc r="G418" t="inlineStr">
      <is>
        <t>100</t>
      </is>
    </nc>
  </rcc>
  <rcc rId="1619" sId="1">
    <oc r="F411">
      <f>48282.6-550</f>
    </oc>
    <nc r="F411">
      <f>48282.6-550+6586.2</f>
    </nc>
  </rcc>
  <rcc rId="1620" sId="1" numFmtId="4">
    <nc r="G411">
      <v>6586.2</v>
    </nc>
  </rcc>
  <rfmt sheetId="1" sqref="G411">
    <dxf>
      <numFmt numFmtId="165" formatCode="#,##0.0"/>
    </dxf>
  </rfmt>
  <rcc rId="1621" sId="1" numFmtId="4">
    <oc r="F390">
      <v>7964.2</v>
    </oc>
    <nc r="F390">
      <f>7964.2+20</f>
    </nc>
  </rcc>
  <rcc rId="1622" sId="1">
    <nc r="G390" t="inlineStr">
      <is>
        <t>20</t>
      </is>
    </nc>
  </rcc>
  <rrc rId="1623" sId="1" ref="A402:XFD402" action="insertRow"/>
  <rrc rId="1624" sId="1" ref="A402:XFD402" action="insertRow"/>
  <rfmt sheetId="1" sqref="A402:A403" start="0" length="0">
    <dxf>
      <border>
        <left style="thin">
          <color indexed="64"/>
        </left>
      </border>
    </dxf>
  </rfmt>
  <rfmt sheetId="1" sqref="A403" start="0" length="0">
    <dxf>
      <border>
        <bottom style="thin">
          <color indexed="64"/>
        </bottom>
      </border>
    </dxf>
  </rfmt>
  <rfmt sheetId="1" sqref="A402:A403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625" sId="1">
    <nc r="A402" t="inlineStr">
      <is>
        <t>Иные обязательства, возникающие при реализации муниципальных программ</t>
      </is>
    </nc>
  </rcc>
  <rcc rId="1626" sId="1">
    <nc r="A403" t="inlineStr">
      <is>
        <t>Иные закупки товаров, работ и услуг для обеспечения государственных (муниципальных) нужд</t>
      </is>
    </nc>
  </rcc>
  <rcc rId="1627" sId="1">
    <nc r="B402" t="inlineStr">
      <is>
        <t>902</t>
      </is>
    </nc>
  </rcc>
  <rcc rId="1628" sId="1">
    <nc r="B403" t="inlineStr">
      <is>
        <t>902</t>
      </is>
    </nc>
  </rcc>
  <rcc rId="1629" sId="1">
    <nc r="C402" t="inlineStr">
      <is>
        <t>0502</t>
      </is>
    </nc>
  </rcc>
  <rcc rId="1630" sId="1">
    <nc r="C403" t="inlineStr">
      <is>
        <t>0502</t>
      </is>
    </nc>
  </rcc>
  <rcc rId="1631" sId="1">
    <nc r="D402" t="inlineStr">
      <is>
        <t>1100520990</t>
      </is>
    </nc>
  </rcc>
  <rcc rId="1632" sId="1">
    <nc r="D403" t="inlineStr">
      <is>
        <t>1100520990</t>
      </is>
    </nc>
  </rcc>
  <rcc rId="1633" sId="1">
    <nc r="E403">
      <v>240</v>
    </nc>
  </rcc>
  <rcc rId="1634" sId="1" numFmtId="4">
    <nc r="F403">
      <v>37934.1</v>
    </nc>
  </rcc>
  <rcc rId="1635" sId="1">
    <nc r="F402">
      <f>F403</f>
    </nc>
  </rcc>
  <rcc rId="1636" sId="1">
    <nc r="G403" t="inlineStr">
      <is>
        <t>37934,1</t>
      </is>
    </nc>
  </rcc>
  <rcc rId="1637" sId="1">
    <oc r="F401">
      <f>F404+F406</f>
    </oc>
    <nc r="F401">
      <f>F404+F406+F402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317" sId="1">
    <nc r="G134" t="inlineStr">
      <is>
        <t>+800,0</t>
      </is>
    </nc>
  </rcc>
  <rcc rId="318" sId="1">
    <oc r="F134">
      <f>5030+818.5</f>
    </oc>
    <nc r="F134">
      <f>5030+818.5+800</f>
    </nc>
  </rcc>
  <rcv guid="{A1566C65-087F-49E5-974A-3CF262DD7D96}" action="delete"/>
  <rdn rId="0" localSheetId="1" customView="1" name="Z_A1566C65_087F_49E5_974A_3CF262DD7D96_.wvu.PrintArea" hidden="1" oldHidden="1">
    <formula>' '!$A$6:$F$1521</formula>
    <oldFormula>' '!$A$6:$F$1521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'!$A$10:$O$1522</formula>
    <oldFormula>' '!$A$10:$O$1522</oldFormula>
  </rdn>
  <rcv guid="{A1566C65-087F-49E5-974A-3CF262DD7D96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38" sId="1" numFmtId="4">
    <oc r="F486">
      <v>10000</v>
    </oc>
    <nc r="F486">
      <f>10000+2147.3</f>
    </nc>
  </rcc>
  <rcc rId="1639" sId="1">
    <nc r="G486" t="inlineStr">
      <is>
        <t>2147,3</t>
      </is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' '!$A$6:$F$1521</formula>
    <oldFormula>' '!$A$6:$F$1521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'!$A$10:$O$1522</formula>
    <oldFormula>' '!$A$10:$O$1522</oldFormula>
  </rdn>
  <rcv guid="{A1566C65-087F-49E5-974A-3CF262DD7D96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0" sId="1">
    <oc r="F1474">
      <f>106380+1681.1</f>
    </oc>
    <nc r="F1474">
      <f>106380+1681.1+9569.6</f>
    </nc>
  </rcc>
  <rcc rId="1641" sId="1" numFmtId="4">
    <nc r="H1474">
      <v>9569.6</v>
    </nc>
  </rcc>
  <rfmt sheetId="1" sqref="H1474" start="0" length="2147483647">
    <dxf>
      <font>
        <color theme="9" tint="0.39997558519241921"/>
      </font>
    </dxf>
  </rfmt>
  <rfmt sheetId="1" sqref="H1474" start="0" length="2147483647">
    <dxf>
      <font>
        <b/>
      </font>
    </dxf>
  </rfmt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42" sId="1" ref="A476:XFD476" action="insertRow"/>
  <rrc rId="1643" sId="1" ref="A476:XFD476" action="insertRow"/>
  <rcc rId="1644" sId="1">
    <nc r="A476" t="inlineStr">
      <is>
        <t>Бюджетные инвестиции</t>
      </is>
    </nc>
  </rcc>
  <rcc rId="1645" sId="1">
    <nc r="A477" t="inlineStr">
      <is>
        <t>Бюджетные инвестиции в объекты капитального строительства государственной (муниципальной) собственности</t>
      </is>
    </nc>
  </rcc>
  <rcc rId="1646" sId="1">
    <nc r="B476" t="inlineStr">
      <is>
        <t>902</t>
      </is>
    </nc>
  </rcc>
  <rcc rId="1647" sId="1">
    <nc r="B477" t="inlineStr">
      <is>
        <t>902</t>
      </is>
    </nc>
  </rcc>
  <rcc rId="1648" sId="1">
    <nc r="C476" t="inlineStr">
      <is>
        <t>0702</t>
      </is>
    </nc>
  </rcc>
  <rcc rId="1649" sId="1">
    <nc r="C477" t="inlineStr">
      <is>
        <t>0702</t>
      </is>
    </nc>
  </rcc>
  <rcc rId="1650" sId="1">
    <nc r="D476" t="inlineStr">
      <is>
        <t>0170220980</t>
      </is>
    </nc>
  </rcc>
  <rcc rId="1651" sId="1">
    <nc r="F476">
      <f>F477</f>
    </nc>
  </rcc>
  <rcc rId="1652" sId="1">
    <nc r="D477" t="inlineStr">
      <is>
        <t>0170220980</t>
      </is>
    </nc>
  </rcc>
  <rcc rId="1653" sId="1" numFmtId="4">
    <nc r="F477">
      <v>48830.1</v>
    </nc>
  </rcc>
  <rcc rId="1654" sId="1">
    <nc r="G477" t="inlineStr">
      <is>
        <t>48830,1</t>
      </is>
    </nc>
  </rcc>
  <rcc rId="1655" sId="1">
    <oc r="F475">
      <f>F478</f>
    </oc>
    <nc r="F475">
      <f>F478+F476</f>
    </nc>
  </rcc>
  <rcc rId="1656" sId="1">
    <nc r="E477">
      <v>414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7" sId="1" numFmtId="4">
    <oc r="F482">
      <v>30000</v>
    </oc>
    <nc r="F482">
      <f>30000+38729</f>
    </nc>
  </rcc>
  <rcc rId="1658" sId="1">
    <nc r="G482" t="inlineStr">
      <is>
        <t>38729</t>
      </is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9" sId="1" ref="A471:XFD471" action="insertRow"/>
  <rrc rId="1660" sId="1" ref="A471:XFD471" action="insertRow"/>
  <rcc rId="1661" sId="1">
    <nc r="A471" t="inlineStr">
      <is>
        <t>Бюджетные инвестиции</t>
      </is>
    </nc>
  </rcc>
  <rcc rId="1662" sId="1">
    <nc r="A472" t="inlineStr">
      <is>
        <t>Бюджетные инвестиции в объекты капитального строительства государственной (муниципальной) собственности</t>
      </is>
    </nc>
  </rcc>
  <rcc rId="1663" sId="1">
    <nc r="B471" t="inlineStr">
      <is>
        <t>902</t>
      </is>
    </nc>
  </rcc>
  <rcc rId="1664" sId="1">
    <nc r="B472" t="inlineStr">
      <is>
        <t>902</t>
      </is>
    </nc>
  </rcc>
  <rcc rId="1665" sId="1">
    <nc r="C471" t="inlineStr">
      <is>
        <t>0702</t>
      </is>
    </nc>
  </rcc>
  <rcc rId="1666" sId="1">
    <nc r="C472" t="inlineStr">
      <is>
        <t>0702</t>
      </is>
    </nc>
  </rcc>
  <rcc rId="1667" sId="1">
    <nc r="D471" t="inlineStr">
      <is>
        <t>0170120980</t>
      </is>
    </nc>
  </rcc>
  <rcc rId="1668" sId="1">
    <nc r="D472" t="inlineStr">
      <is>
        <t>0170120980</t>
      </is>
    </nc>
  </rcc>
  <rcc rId="1669" sId="1">
    <nc r="F471">
      <f>F472</f>
    </nc>
  </rcc>
  <rcc rId="1670" sId="1">
    <nc r="E472">
      <v>414</v>
    </nc>
  </rcc>
  <rcc rId="1671" sId="1" numFmtId="4">
    <nc r="F472">
      <v>5000</v>
    </nc>
  </rcc>
  <rcc rId="1672" sId="1" numFmtId="4">
    <nc r="G472">
      <v>5000</v>
    </nc>
  </rcc>
  <rcc rId="1673" sId="1">
    <oc r="F470">
      <f>F475+F473</f>
    </oc>
    <nc r="F470">
      <f>F475+F473+F471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79" sId="1" numFmtId="4">
    <oc r="D2086">
      <f>'W:\Решения Городской Думы\Бюджет 2018-2020\Уточнение бюджета январь\[Приложение 4_по разделам 2018_.xlsx]январь'!$E$1237</f>
    </oc>
    <nc r="D2086">
      <v>0</v>
    </nc>
  </rcc>
  <rcc rId="1680" sId="1" numFmtId="4">
    <oc r="D2087">
      <f>'W:\Решения Городской Думы\Бюджет 2018-2020\Уточнение бюджета январь\[Приложение 4_по разделам 2018_.xlsx]январь'!$E$1239</f>
    </oc>
    <nc r="D2087">
      <v>0</v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81" sId="1">
    <oc r="F400">
      <f>243696+24541.5+263246.3</f>
    </oc>
    <nc r="F400">
      <f>243696+24541.5+263246.3-11907.5</f>
    </nc>
  </rcc>
  <rcc rId="1682" sId="1">
    <oc r="G400" t="inlineStr">
      <is>
        <t>263246,3</t>
      </is>
    </oc>
    <nc r="G400" t="inlineStr">
      <is>
        <t>263246,3    -11907,5</t>
      </is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83" sId="1" ref="A432:XFD432" action="insertRow"/>
  <rrc rId="1684" sId="1" ref="A432:XFD432" action="insertRow"/>
  <rrc rId="1685" sId="1" ref="A433:XFD433" action="insertRow"/>
  <rcc rId="1686" sId="1">
    <nc r="B432">
      <v>902</v>
    </nc>
  </rcc>
  <rfmt sheetId="1" sqref="C432:C434" start="0" length="2147483647">
    <dxf>
      <font>
        <color rgb="FFFF0000"/>
      </font>
    </dxf>
  </rfmt>
  <rcc rId="1687" sId="1">
    <nc r="B433">
      <v>902</v>
    </nc>
  </rcc>
  <rcc rId="1688" sId="1">
    <nc r="B434">
      <v>902</v>
    </nc>
  </rcc>
  <rcc rId="1689" sId="1" odxf="1" dxf="1">
    <nc r="A432" t="inlineStr">
      <is>
        <t>Организация работ по подготовке к праздничным мероприятиям городского округа "Город Южно-Сахалинск"</t>
      </is>
    </nc>
    <odxf>
      <font>
        <sz val="12"/>
        <color auto="1"/>
      </font>
      <fill>
        <patternFill patternType="solid">
          <bgColor theme="0"/>
        </patternFill>
      </fill>
    </odxf>
    <ndxf>
      <font>
        <sz val="12"/>
        <color theme="1"/>
      </font>
      <fill>
        <patternFill patternType="none">
          <bgColor indexed="65"/>
        </patternFill>
      </fill>
    </ndxf>
  </rcc>
  <rcc rId="1690" sId="1" odxf="1" dxf="1">
    <nc r="A433" t="inlineStr">
      <is>
        <t>Иные обязательства, возникающие при реализации муниципальных программ</t>
      </is>
    </nc>
    <odxf>
      <font>
        <sz val="12"/>
        <color auto="1"/>
      </font>
    </odxf>
    <ndxf>
      <font>
        <sz val="12"/>
        <color theme="1"/>
      </font>
    </ndxf>
  </rcc>
  <rcc rId="1691" sId="1">
    <nc r="A434" t="inlineStr">
      <is>
        <t>Иные закупки товаров, работ и услуг для обеспечения государственных (муниципальных) нужд</t>
      </is>
    </nc>
  </rcc>
  <rcc rId="1692" sId="1" odxf="1" dxf="1">
    <nc r="C432" t="inlineStr">
      <is>
        <t>0503</t>
      </is>
    </nc>
    <ndxf>
      <font>
        <sz val="12"/>
        <color theme="1"/>
      </font>
      <fill>
        <patternFill patternType="none">
          <bgColor indexed="65"/>
        </patternFill>
      </fill>
    </ndxf>
  </rcc>
  <rcc rId="1693" sId="1" odxf="1" dxf="1">
    <nc r="C433" t="inlineStr">
      <is>
        <t>0503</t>
      </is>
    </nc>
    <ndxf>
      <font>
        <sz val="12"/>
        <color theme="1"/>
      </font>
      <fill>
        <patternFill patternType="none">
          <bgColor indexed="65"/>
        </patternFill>
      </fill>
    </ndxf>
  </rcc>
  <rcc rId="1694" sId="1" odxf="1" dxf="1">
    <nc r="C434" t="inlineStr">
      <is>
        <t>0503</t>
      </is>
    </nc>
    <ndxf>
      <font>
        <sz val="12"/>
        <color theme="1"/>
      </font>
      <fill>
        <patternFill patternType="none">
          <bgColor indexed="65"/>
        </patternFill>
      </fill>
    </ndxf>
  </rcc>
  <rcv guid="{8641C9CE-CF0B-47B3-96C3-90D4839F015C}" action="delete"/>
  <rdn rId="0" localSheetId="1" customView="1" name="Z_8641C9CE_CF0B_47B3_96C3_90D4839F015C_.wvu.PrintArea" hidden="1" oldHidden="1">
    <formula>январь!$A$6:$F$1639</formula>
    <oldFormula>январь!$A$6:$F$1639</oldFormula>
  </rdn>
  <rdn rId="0" localSheetId="1" customView="1" name="Z_8641C9CE_CF0B_47B3_96C3_90D4839F015C_.wvu.PrintTitles" hidden="1" oldHidden="1">
    <formula>январь!$9:$10</formula>
    <oldFormula>январь!$9:$10</oldFormula>
  </rdn>
  <rdn rId="0" localSheetId="1" customView="1" name="Z_8641C9CE_CF0B_47B3_96C3_90D4839F015C_.wvu.FilterData" hidden="1" oldHidden="1">
    <formula>январь!$A$10:$O$1642</formula>
    <oldFormula>январь!$A$10:$O$1642</oldFormula>
  </rdn>
  <rcv guid="{8641C9CE-CF0B-47B3-96C3-90D4839F015C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8" sId="1">
    <nc r="D432" t="inlineStr">
      <is>
        <t>1200700000</t>
      </is>
    </nc>
  </rcc>
  <rcc rId="1699" sId="1">
    <nc r="D433" t="inlineStr">
      <is>
        <t>1200720990</t>
      </is>
    </nc>
  </rcc>
  <rcc rId="1700" sId="1">
    <nc r="D434" t="inlineStr">
      <is>
        <t>1200720990</t>
      </is>
    </nc>
  </rcc>
  <rcc rId="1701" sId="1">
    <nc r="E434">
      <v>240</v>
    </nc>
  </rcc>
  <rcc rId="1702" sId="1">
    <nc r="F433">
      <f>F434</f>
    </nc>
  </rcc>
  <rcc rId="1703" sId="1">
    <nc r="F432">
      <f>F433</f>
    </nc>
  </rcc>
  <rcc rId="1704" sId="1">
    <nc r="G434" t="inlineStr">
      <is>
        <t>300</t>
      </is>
    </nc>
  </rcc>
  <rcc rId="1705" sId="1" numFmtId="4">
    <nc r="F434">
      <v>300</v>
    </nc>
  </rcc>
  <rfmt sheetId="1" sqref="G434" start="0" length="2147483647">
    <dxf>
      <font>
        <color theme="9" tint="-0.499984740745262"/>
      </font>
    </dxf>
  </rfmt>
  <rfmt sheetId="1" sqref="G434" start="0" length="2147483647">
    <dxf>
      <font>
        <b/>
      </font>
    </dxf>
  </rfmt>
  <rcc rId="1706" sId="1">
    <oc r="F425">
      <f>F426+F429</f>
    </oc>
    <nc r="F425">
      <f>F426+F429+F432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>
  <rcc rId="480" sId="1">
    <nc r="G708" t="inlineStr">
      <is>
        <t>-25,0</t>
      </is>
    </nc>
  </rcc>
  <rcc rId="481" sId="1" numFmtId="4">
    <oc r="F708">
      <v>25</v>
    </oc>
    <nc r="F708">
      <f>25-25</f>
    </nc>
  </rcc>
  <rrc rId="482" sId="1" ref="A727:XFD731" action="insertRow"/>
  <rcc rId="483" sId="1" odxf="1" dxf="1">
    <nc r="A727" t="inlineStr">
      <is>
        <t>Профессиональная подготовка, переподготовка и повышение квалификации</t>
      </is>
    </nc>
    <odxf>
      <font>
        <sz val="12"/>
        <color auto="1"/>
      </font>
    </odxf>
    <ndxf>
      <font>
        <sz val="12"/>
        <color theme="1"/>
      </font>
    </ndxf>
  </rcc>
  <rcc rId="484" sId="1" odxf="1" dxf="1">
    <nc r="C727" t="inlineStr">
      <is>
        <t>0705</t>
      </is>
    </nc>
    <odxf>
      <numFmt numFmtId="0" formatCode="General"/>
    </odxf>
    <ndxf>
      <numFmt numFmtId="30" formatCode="@"/>
    </ndxf>
  </rcc>
  <rfmt sheetId="1" sqref="G727" start="0" length="0">
    <dxf>
      <font>
        <b val="0"/>
        <sz val="12"/>
        <color auto="1"/>
      </font>
      <numFmt numFmtId="3" formatCode="#,##0"/>
    </dxf>
  </rfmt>
  <rcc rId="485" sId="1" odxf="1" dxf="1">
    <nc r="A728" t="inlineStr">
      <is>
        <t>Муниципальная программа "Реформирование и развитие системы муниципальной службы в администрации города Южно-Сахалинска (2015-2020 годы)"</t>
      </is>
    </nc>
    <odxf>
      <font>
        <sz val="12"/>
        <color auto="1"/>
      </font>
    </odxf>
    <ndxf>
      <font>
        <sz val="12"/>
        <color theme="1"/>
      </font>
    </ndxf>
  </rcc>
  <rcc rId="486" sId="1" odxf="1" dxf="1">
    <nc r="C728" t="inlineStr">
      <is>
        <t>0705</t>
      </is>
    </nc>
    <odxf>
      <numFmt numFmtId="0" formatCode="General"/>
    </odxf>
    <ndxf>
      <numFmt numFmtId="30" formatCode="@"/>
    </ndxf>
  </rcc>
  <rcc rId="487" sId="1">
    <nc r="D728" t="inlineStr">
      <is>
        <t>0300000000</t>
      </is>
    </nc>
  </rcc>
  <rcc rId="488" sId="1">
    <nc r="E728" t="inlineStr">
      <is>
        <t/>
      </is>
    </nc>
  </rcc>
  <rcc rId="489" sId="1">
    <nc r="F728">
      <f>F729</f>
    </nc>
  </rcc>
  <rfmt sheetId="1" sqref="G728" start="0" length="0">
    <dxf>
      <font>
        <b val="0"/>
        <sz val="12"/>
        <color auto="1"/>
      </font>
      <numFmt numFmtId="3" formatCode="#,##0"/>
    </dxf>
  </rfmt>
  <rcc rId="490" sId="1" odxf="1" dxf="1">
    <nc r="A729" t="inlineStr">
      <is>
        <t>Дополнительное образование муниципальных служащих</t>
      </is>
    </nc>
    <odxf>
      <font>
        <sz val="12"/>
        <color auto="1"/>
      </font>
    </odxf>
    <ndxf>
      <font>
        <sz val="12"/>
        <color theme="1"/>
      </font>
    </ndxf>
  </rcc>
  <rcc rId="491" sId="1" odxf="1" dxf="1">
    <nc r="C729" t="inlineStr">
      <is>
        <t>0705</t>
      </is>
    </nc>
    <odxf>
      <numFmt numFmtId="0" formatCode="General"/>
    </odxf>
    <ndxf>
      <numFmt numFmtId="30" formatCode="@"/>
    </ndxf>
  </rcc>
  <rcc rId="492" sId="1">
    <nc r="D729" t="inlineStr">
      <is>
        <t>0300200000</t>
      </is>
    </nc>
  </rcc>
  <rcc rId="493" sId="1">
    <nc r="E729" t="inlineStr">
      <is>
        <t/>
      </is>
    </nc>
  </rcc>
  <rcc rId="494" sId="1">
    <nc r="F729">
      <f>F730</f>
    </nc>
  </rcc>
  <rfmt sheetId="1" sqref="G729" start="0" length="0">
    <dxf>
      <font>
        <b val="0"/>
        <sz val="12"/>
        <color auto="1"/>
      </font>
    </dxf>
  </rfmt>
  <rcc rId="495" sId="1" odxf="1" dxf="1">
    <nc r="A730" t="inlineStr">
      <is>
        <t>Дополнительное профессиональное образование муниципальных служащих</t>
      </is>
    </nc>
    <odxf>
      <font>
        <sz val="12"/>
        <color auto="1"/>
      </font>
      <alignment horizontal="left" vertical="top" readingOrder="0"/>
    </odxf>
    <ndxf>
      <font>
        <sz val="12"/>
        <color theme="1"/>
      </font>
      <alignment horizontal="general" vertical="center" readingOrder="0"/>
    </ndxf>
  </rcc>
  <rcc rId="496" sId="1" odxf="1" dxf="1">
    <nc r="C730" t="inlineStr">
      <is>
        <t>0705</t>
      </is>
    </nc>
    <odxf>
      <numFmt numFmtId="0" formatCode="General"/>
    </odxf>
    <ndxf>
      <numFmt numFmtId="30" formatCode="@"/>
    </ndxf>
  </rcc>
  <rcc rId="497" sId="1">
    <nc r="D730" t="inlineStr">
      <is>
        <t>0300220400</t>
      </is>
    </nc>
  </rcc>
  <rcc rId="498" sId="1">
    <nc r="F730">
      <f>F731</f>
    </nc>
  </rcc>
  <rfmt sheetId="1" sqref="G730" start="0" length="0">
    <dxf>
      <font>
        <sz val="12"/>
        <color rgb="FF7030A0"/>
      </font>
      <numFmt numFmtId="30" formatCode="@"/>
    </dxf>
  </rfmt>
  <rcc rId="499" sId="1">
    <nc r="A731" t="inlineStr">
      <is>
        <t>Иные закупки товаров, работ и услуг для обеспечения государственных (муниципальных) нужд</t>
      </is>
    </nc>
  </rcc>
  <rcc rId="500" sId="1" odxf="1" dxf="1">
    <nc r="C731" t="inlineStr">
      <is>
        <t>0705</t>
      </is>
    </nc>
    <odxf>
      <numFmt numFmtId="0" formatCode="General"/>
    </odxf>
    <ndxf>
      <numFmt numFmtId="30" formatCode="@"/>
    </ndxf>
  </rcc>
  <rcc rId="501" sId="1">
    <nc r="D731" t="inlineStr">
      <is>
        <t>0300220400</t>
      </is>
    </nc>
  </rcc>
  <rcc rId="502" sId="1">
    <nc r="E731">
      <v>240</v>
    </nc>
  </rcc>
  <rfmt sheetId="1" sqref="G731" start="0" length="0">
    <dxf>
      <font>
        <sz val="12"/>
        <color rgb="FF7030A0"/>
      </font>
      <numFmt numFmtId="30" formatCode="@"/>
    </dxf>
  </rfmt>
  <rrc rId="503" sId="1" ref="A727:XFD727" action="insertRow"/>
  <rfmt sheetId="1" sqref="C727" start="0" length="0">
    <dxf>
      <numFmt numFmtId="30" formatCode="@"/>
    </dxf>
  </rfmt>
  <rfmt sheetId="1" sqref="C727" start="0" length="2147483647">
    <dxf>
      <font>
        <b/>
      </font>
    </dxf>
  </rfmt>
  <rcc rId="504" sId="1">
    <nc r="B728" t="inlineStr">
      <is>
        <t>904</t>
      </is>
    </nc>
  </rcc>
  <rcc rId="505" sId="1">
    <nc r="B729" t="inlineStr">
      <is>
        <t>904</t>
      </is>
    </nc>
  </rcc>
  <rcc rId="506" sId="1">
    <nc r="B730" t="inlineStr">
      <is>
        <t>904</t>
      </is>
    </nc>
  </rcc>
  <rcc rId="507" sId="1">
    <nc r="B731" t="inlineStr">
      <is>
        <t>904</t>
      </is>
    </nc>
  </rcc>
  <rcc rId="508" sId="1">
    <nc r="B732" t="inlineStr">
      <is>
        <t>904</t>
      </is>
    </nc>
  </rcc>
  <rcc rId="509" sId="1">
    <nc r="F732">
      <f>25</f>
    </nc>
  </rcc>
  <rcc rId="510" sId="1">
    <nc r="G732" t="inlineStr">
      <is>
        <t>+25,0</t>
      </is>
    </nc>
  </rcc>
  <rcc rId="511" sId="1">
    <nc r="F728">
      <f>F729</f>
    </nc>
  </rcc>
  <rcc rId="512" sId="1" odxf="1" dxf="1">
    <nc r="A727" t="inlineStr">
      <is>
        <t>ОБРАЗОВАНИЕ</t>
      </is>
    </nc>
    <odxf>
      <font>
        <b val="0"/>
        <sz val="12"/>
        <color auto="1"/>
      </font>
    </odxf>
    <ndxf>
      <font>
        <b/>
        <sz val="12"/>
        <color theme="1"/>
      </font>
    </ndxf>
  </rcc>
  <rfmt sheetId="1" sqref="B727" start="0" length="0">
    <dxf>
      <font>
        <b/>
        <sz val="12"/>
        <color theme="1"/>
      </font>
    </dxf>
  </rfmt>
  <rcc rId="513" sId="1" odxf="1" dxf="1">
    <nc r="C727" t="inlineStr">
      <is>
        <t>0700</t>
      </is>
    </nc>
    <ndxf>
      <numFmt numFmtId="0" formatCode="General"/>
    </ndxf>
  </rcc>
  <rcc rId="514" sId="1">
    <nc r="D727" t="inlineStr">
      <is>
        <t/>
      </is>
    </nc>
  </rcc>
  <rcc rId="515" sId="1">
    <nc r="E727" t="inlineStr">
      <is>
        <t/>
      </is>
    </nc>
  </rcc>
  <rfmt sheetId="1" sqref="F727" start="0" length="0">
    <dxf>
      <font>
        <b/>
        <sz val="12"/>
        <color auto="1"/>
      </font>
    </dxf>
  </rfmt>
  <rfmt sheetId="1" sqref="G727" start="0" length="0">
    <dxf>
      <font>
        <b val="0"/>
        <sz val="12"/>
        <color auto="1"/>
      </font>
      <numFmt numFmtId="30" formatCode="@"/>
    </dxf>
  </rfmt>
  <rcc rId="516" sId="1">
    <nc r="F727">
      <f>F728</f>
    </nc>
  </rcc>
  <rcc rId="517" sId="1">
    <nc r="B727">
      <v>904</v>
    </nc>
  </rcc>
  <rcc rId="518" sId="1">
    <oc r="F700">
      <f>F701+F733</f>
    </oc>
    <nc r="F700">
      <f>F701+F733+F727</f>
    </nc>
  </rcc>
  <rcc rId="519" sId="1">
    <oc r="B1843">
      <f>F466+F1408</f>
    </oc>
    <nc r="B1843">
      <f>F466+F1408+F731</f>
    </nc>
  </rcc>
  <rcv guid="{A1566C65-087F-49E5-974A-3CF262DD7D96}" action="delete"/>
  <rdn rId="0" localSheetId="1" customView="1" name="Z_A1566C65_087F_49E5_974A_3CF262DD7D96_.wvu.PrintArea" hidden="1" oldHidden="1">
    <formula>' '!$A$6:$F$1541</formula>
    <oldFormula>' '!$A$6:$F$1541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'!$A$10:$O$1542</formula>
    <oldFormula>' '!$A$10:$O$1542</oldFormula>
  </rdn>
  <rcv guid="{A1566C65-087F-49E5-974A-3CF262DD7D96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7" sId="1">
    <oc r="F420">
      <f>49075.8-2540+2540+100</f>
    </oc>
    <nc r="F420">
      <f>49075.8-2540+2540+100+11907.5+1500</f>
    </nc>
  </rcc>
  <rcc rId="1708" sId="1">
    <oc r="G420" t="inlineStr">
      <is>
        <t>100</t>
      </is>
    </oc>
    <nc r="G420" t="inlineStr">
      <is>
        <t>100  11907,5   1500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fmt sheetId="1" sqref="G233" start="0" length="0">
    <dxf>
      <font>
        <sz val="12"/>
        <color rgb="FF7030A0"/>
      </font>
    </dxf>
  </rfmt>
  <rcc rId="453" sId="1">
    <nc r="G233" t="inlineStr">
      <is>
        <t>-1,0</t>
      </is>
    </nc>
  </rcc>
  <rcc rId="454" sId="1" numFmtId="4">
    <oc r="F233">
      <v>1</v>
    </oc>
    <nc r="F233">
      <f>1-1</f>
    </nc>
  </rcc>
  <rcc rId="455" sId="1">
    <nc r="G230" t="inlineStr">
      <is>
        <t>+12,0</t>
      </is>
    </nc>
  </rcc>
  <rfmt sheetId="1" sqref="G230" start="0" length="2147483647">
    <dxf>
      <font>
        <color rgb="FF7030A0"/>
      </font>
    </dxf>
  </rfmt>
  <rcc rId="456" sId="1">
    <nc r="G96" t="inlineStr">
      <is>
        <t>-1,0</t>
      </is>
    </nc>
  </rcc>
  <rcc rId="457" sId="1" numFmtId="4">
    <oc r="F96">
      <v>30</v>
    </oc>
    <nc r="F96">
      <f>30-1</f>
    </nc>
  </rcc>
  <rm rId="458" sheetId="1" source="G230" destination="G229" sourceSheetId="1">
    <rfmt sheetId="1" sqref="G229" start="0" length="0">
      <dxf>
        <font>
          <b/>
          <sz val="12"/>
          <color auto="1"/>
          <name val="Times New Roman"/>
          <scheme val="none"/>
        </font>
        <numFmt numFmtId="30" formatCode="@"/>
        <alignment horizontal="left" wrapText="0" readingOrder="0"/>
      </dxf>
    </rfmt>
  </rm>
  <rcc rId="459" sId="1">
    <oc r="F230">
      <v>10</v>
    </oc>
    <nc r="F230">
      <f>10</f>
    </nc>
  </rcc>
  <rcc rId="460" sId="1" numFmtId="4">
    <oc r="F229">
      <v>410</v>
    </oc>
    <nc r="F229">
      <f>410+12</f>
    </nc>
  </rcc>
  <rcv guid="{A1566C65-087F-49E5-974A-3CF262DD7D96}" action="delete"/>
  <rdn rId="0" localSheetId="1" customView="1" name="Z_A1566C65_087F_49E5_974A_3CF262DD7D96_.wvu.PrintArea" hidden="1" oldHidden="1">
    <formula>' '!$A$6:$F$1533</formula>
    <oldFormula>' '!$A$6:$F$1533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'!$A$10:$O$1534</formula>
    <oldFormula>' '!$A$10:$O$1534</oldFormula>
  </rdn>
  <rcv guid="{A1566C65-087F-49E5-974A-3CF262DD7D96}" action="add"/>
</revisions>
</file>

<file path=xl/revisions/revisionLog1511.xml><?xml version="1.0" encoding="utf-8"?>
<revisions xmlns="http://schemas.openxmlformats.org/spreadsheetml/2006/main" xmlns:r="http://schemas.openxmlformats.org/officeDocument/2006/relationships">
  <rcc rId="444" sId="1">
    <nc r="G232" t="inlineStr">
      <is>
        <t>-10,0</t>
      </is>
    </nc>
  </rcc>
  <rfmt sheetId="1" sqref="G232" start="0" length="2147483647">
    <dxf>
      <font>
        <color rgb="FF7030A0"/>
      </font>
    </dxf>
  </rfmt>
  <rcc rId="445" sId="1">
    <oc r="F232">
      <f>10+0.4</f>
    </oc>
    <nc r="F232">
      <f>10+0.4-10</f>
    </nc>
  </rcc>
  <rcv guid="{A1566C65-087F-49E5-974A-3CF262DD7D96}" action="delete"/>
  <rdn rId="0" localSheetId="1" customView="1" name="Z_A1566C65_087F_49E5_974A_3CF262DD7D96_.wvu.PrintArea" hidden="1" oldHidden="1">
    <formula>' '!$A$6:$F$1533</formula>
    <oldFormula>' '!$A$6:$F$1533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'!$A$10:$O$1534</formula>
    <oldFormula>' '!$A$10:$O$1534</oldFormula>
  </rdn>
  <rcv guid="{A1566C65-087F-49E5-974A-3CF262DD7D96}" action="add"/>
</revisions>
</file>

<file path=xl/revisions/revisionLog15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" sId="1">
    <oc r="F1341">
      <f>F1342+F1345+F1356+F1364+F1361</f>
    </oc>
    <nc r="F1341">
      <f>F1342+F1345+F1356+F1364+F1361+F1371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9" sId="1">
    <oc r="F423">
      <f>10812.5-4810.7+1940.6</f>
    </oc>
    <nc r="F423">
      <f>10812.5-4810.7+1940.6-1500</f>
    </nc>
  </rcc>
  <rcc rId="1710" sId="1">
    <oc r="G423" t="inlineStr">
      <is>
        <t>1940,6</t>
      </is>
    </oc>
    <nc r="G423" t="inlineStr">
      <is>
        <t>1940,6   -1500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1" sId="1">
    <oc r="F449">
      <f>30+270.6-270.6</f>
    </oc>
    <nc r="F449">
      <f>30+270.6-270.6-30</f>
    </nc>
  </rcc>
  <rcc rId="1712" sId="1">
    <oc r="G449" t="inlineStr">
      <is>
        <t>-270,6</t>
      </is>
    </oc>
    <nc r="G449" t="inlineStr">
      <is>
        <t>-270,6;-30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3" sId="1" numFmtId="4">
    <oc r="D1765">
      <v>437733.5</v>
    </oc>
    <nc r="D1765">
      <v>0</v>
    </nc>
  </rcc>
  <rcc rId="1714" sId="1" numFmtId="4">
    <oc r="D1764">
      <v>199</v>
    </oc>
    <nc r="D1764">
      <v>0</v>
    </nc>
  </rcc>
  <rcc rId="1715" sId="1">
    <oc r="B1857">
      <f>F435+F1174</f>
    </oc>
    <nc r="B1857">
      <f>F436</f>
    </nc>
  </rcc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16" sId="1" ref="A632:XFD632" action="insertRow"/>
  <rcc rId="1717" sId="1">
    <nc r="B632" t="inlineStr">
      <is>
        <t>902</t>
      </is>
    </nc>
  </rcc>
  <rcc rId="1718" sId="1">
    <nc r="C632">
      <v>1006</v>
    </nc>
  </rcc>
  <rcc rId="1719" sId="1">
    <nc r="D632" t="inlineStr">
      <is>
        <t>1610163020</t>
      </is>
    </nc>
  </rcc>
  <rcc rId="1720" sId="1">
    <nc r="A632" t="inlineStr">
      <is>
        <t>Иные закупки товаров, работ и услуг для обеспечения государственных (муниципальных) нужд</t>
      </is>
    </nc>
  </rcc>
  <rrc rId="1721" sId="1" ref="A635:XFD635" action="insertRow"/>
  <rcc rId="1722" sId="1">
    <nc r="B635" t="inlineStr">
      <is>
        <t>902</t>
      </is>
    </nc>
  </rcc>
  <rcc rId="1723" sId="1">
    <nc r="C635">
      <v>1006</v>
    </nc>
  </rcc>
  <rcc rId="1724" sId="1">
    <nc r="D635" t="inlineStr">
      <is>
        <t>16101S3020</t>
      </is>
    </nc>
  </rcc>
  <rcc rId="1725" sId="1">
    <nc r="E635">
      <v>240</v>
    </nc>
  </rcc>
  <rcc rId="1726" sId="1">
    <nc r="A635" t="inlineStr">
      <is>
        <t>Иные закупки товаров, работ и услуг для обеспечения государственных (муниципальных) нужд</t>
      </is>
    </nc>
  </rcc>
  <rcc rId="1727" sId="1">
    <nc r="E632">
      <v>240</v>
    </nc>
  </rcc>
  <rcc rId="1728" sId="1" numFmtId="4">
    <nc r="F632">
      <v>10000</v>
    </nc>
  </rcc>
  <rcc rId="1729" sId="1">
    <nc r="G632">
      <v>10000</v>
    </nc>
  </rcc>
  <rcc rId="1730" sId="1">
    <nc r="H632" t="inlineStr">
      <is>
        <t>Б</t>
      </is>
    </nc>
  </rcc>
  <rfmt sheetId="1" sqref="G632">
    <dxf>
      <alignment horizontal="left" readingOrder="0"/>
    </dxf>
  </rfmt>
  <rfmt sheetId="1" sqref="G632:H632" start="0" length="2147483647">
    <dxf>
      <font>
        <b val="0"/>
      </font>
    </dxf>
  </rfmt>
  <rfmt sheetId="1" sqref="G632:H632" start="0" length="2147483647">
    <dxf>
      <font>
        <b/>
      </font>
    </dxf>
  </rfmt>
  <rfmt sheetId="1" sqref="G632:H632" start="0" length="2147483647">
    <dxf>
      <font>
        <color rgb="FF390FB1"/>
      </font>
    </dxf>
  </rfmt>
  <rcc rId="1731" sId="1">
    <oc r="F630">
      <f>F631</f>
    </oc>
    <nc r="F630">
      <f>F631+F632</f>
    </nc>
  </rcc>
  <rcc rId="1732" sId="1" numFmtId="4">
    <nc r="F635">
      <v>100</v>
    </nc>
  </rcc>
  <rcc rId="1733" sId="1">
    <nc r="G635">
      <v>100</v>
    </nc>
  </rcc>
  <rcc rId="1734" sId="1">
    <nc r="H635" t="inlineStr">
      <is>
        <t>Б</t>
      </is>
    </nc>
  </rcc>
  <rfmt sheetId="1" sqref="G635:H635" start="0" length="2147483647">
    <dxf>
      <font>
        <b val="0"/>
      </font>
    </dxf>
  </rfmt>
  <rfmt sheetId="1" sqref="G635:H635" start="0" length="2147483647">
    <dxf>
      <font>
        <b/>
      </font>
    </dxf>
  </rfmt>
  <rfmt sheetId="1" sqref="G635:H635" start="0" length="2147483647">
    <dxf>
      <font>
        <color rgb="FF390FB1"/>
      </font>
    </dxf>
  </rfmt>
  <rcc rId="1735" sId="1">
    <oc r="F633">
      <f>F634</f>
    </oc>
    <nc r="F633">
      <f>F634+F635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169">
      <v>1144</v>
    </nc>
  </rcc>
  <rcc rId="1737" sId="1">
    <oc r="F169">
      <f>59077.4+446.1</f>
    </oc>
    <nc r="F169">
      <f>59077.4+446.1+1144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663216F-E4C5-4B4E-838D-07E5C6B7FB5D}" action="delete"/>
  <rdn rId="0" localSheetId="1" customView="1" name="Z_1663216F_E4C5_4B4E_838D_07E5C6B7FB5D_.wvu.PrintArea" hidden="1" oldHidden="1">
    <formula>январь!$A$6:$F$1643</formula>
    <oldFormula>январь!$A$6:$F$1643</oldFormula>
  </rdn>
  <rdn rId="0" localSheetId="1" customView="1" name="Z_1663216F_E4C5_4B4E_838D_07E5C6B7FB5D_.wvu.PrintTitles" hidden="1" oldHidden="1">
    <formula>январь!$9:$10</formula>
    <oldFormula>январь!$9:$10</oldFormula>
  </rdn>
  <rdn rId="0" localSheetId="1" customView="1" name="Z_1663216F_E4C5_4B4E_838D_07E5C6B7FB5D_.wvu.FilterData" hidden="1" oldHidden="1">
    <formula>январь!$A$10:$O$1644</formula>
    <oldFormula>январь!$A$10:$O$1644</oldFormula>
  </rdn>
  <rcv guid="{1663216F-E4C5-4B4E-838D-07E5C6B7FB5D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1" sId="1">
    <oc r="E367">
      <v>40</v>
    </oc>
    <nc r="E367">
      <v>240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2" sId="1">
    <oc r="F400">
      <f>243696+24541.5+263246.3-11907.5</f>
    </oc>
    <nc r="F400">
      <f>243696+24541.5+263246.3-11907.5-384.7</f>
    </nc>
  </rcc>
  <rcc rId="1743" sId="1">
    <oc r="G400" t="inlineStr">
      <is>
        <t>263246,3    -11907,5</t>
      </is>
    </oc>
    <nc r="G400" t="inlineStr">
      <is>
        <t>263246,3    -11907,5  -384,7</t>
      </is>
    </nc>
  </rcc>
  <rrc rId="1744" sId="1" ref="A653:XFD653" action="insertRow"/>
  <rrc rId="1745" sId="1" ref="A653:XFD653" action="insertRow"/>
  <rcc rId="1746" sId="1">
    <nc r="E654">
      <v>414</v>
    </nc>
  </rcc>
  <rcc rId="1747" sId="1" numFmtId="4">
    <nc r="F654">
      <v>384.7</v>
    </nc>
  </rcc>
  <rcc rId="1748" sId="1" numFmtId="4">
    <nc r="G654">
      <v>384.7</v>
    </nc>
  </rcc>
  <rcc rId="1749" sId="1">
    <nc r="D654" t="inlineStr">
      <is>
        <t>1700420980</t>
      </is>
    </nc>
  </rcc>
  <rcc rId="1750" sId="1">
    <nc r="D653" t="inlineStr">
      <is>
        <t>1700420980</t>
      </is>
    </nc>
  </rcc>
  <rcc rId="1751" sId="1">
    <nc r="A654" t="inlineStr">
      <is>
        <t>Бюджетные инвестиции в объекты капитального строительства государственной (муниципальной) собственности</t>
      </is>
    </nc>
  </rcc>
  <rcc rId="1752" sId="1">
    <nc r="A653" t="inlineStr">
      <is>
        <t>Бюджетные инвестиции</t>
      </is>
    </nc>
  </rcc>
  <rcc rId="1753" sId="1">
    <nc r="B653">
      <v>902</v>
    </nc>
  </rcc>
  <rcc rId="1754" sId="1">
    <nc r="B654">
      <v>902</v>
    </nc>
  </rcc>
  <rcc rId="1755" sId="1">
    <nc r="C654">
      <v>1102</v>
    </nc>
  </rcc>
  <rcc rId="1756" sId="1">
    <nc r="C653">
      <v>1102</v>
    </nc>
  </rcc>
  <rcc rId="1757" sId="1">
    <nc r="F653">
      <f>F654</f>
    </nc>
  </rcc>
  <rfmt sheetId="1" sqref="G654">
    <dxf>
      <numFmt numFmtId="165" formatCode="#,##0.0"/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январь!$A$6:$F$1610</formula>
    <oldFormula>январь!$A$6:$F$1610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январь!$A$10:$O$1611</formula>
    <oldFormula>январь!$A$10:$O$1611</oldFormula>
  </rdn>
  <rcv guid="{A1566C65-087F-49E5-974A-3CF262DD7D96}" action="add"/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6AD508C-AEED-43C7-976B-DD33C28CD830}" action="delete"/>
  <rdn rId="0" localSheetId="1" customView="1" name="Z_A6AD508C_AEED_43C7_976B_DD33C28CD830_.wvu.PrintArea" hidden="1" oldHidden="1">
    <formula>январь!$A$6:$F$1645</formula>
    <oldFormula>январь!$A$6:$F$1645</oldFormula>
  </rdn>
  <rdn rId="0" localSheetId="1" customView="1" name="Z_A6AD508C_AEED_43C7_976B_DD33C28CD830_.wvu.PrintTitles" hidden="1" oldHidden="1">
    <formula>январь!$9:$10</formula>
    <oldFormula>январь!$9:$10</oldFormula>
  </rdn>
  <rdn rId="0" localSheetId="1" customView="1" name="Z_A6AD508C_AEED_43C7_976B_DD33C28CD830_.wvu.FilterData" hidden="1" oldHidden="1">
    <formula>январь!$A$10:$F$1646</formula>
    <oldFormula>январь!$A$10:$F$1646</oldFormula>
  </rdn>
  <rcv guid="{A6AD508C-AEED-43C7-976B-DD33C28CD830}" action="add"/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4" sId="1" numFmtId="4">
    <oc r="B1734">
      <v>0</v>
    </oc>
    <nc r="B1734">
      <f>F1371</f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1" sId="1">
    <oc r="B1891">
      <f>F462</f>
    </oc>
    <nc r="B1891">
      <f>F462+F464</f>
    </nc>
  </rcc>
  <rcc rId="1762" sId="1">
    <oc r="A1911" t="inlineStr">
      <is>
        <t>0702                    0160500590</t>
      </is>
    </oc>
    <nc r="A1911" t="inlineStr">
      <is>
        <t>0702                    0170120980</t>
      </is>
    </nc>
  </rcc>
  <rcc rId="1763" sId="1">
    <nc r="B1911">
      <f>F475</f>
    </nc>
  </rcc>
  <rrc rId="1764" sId="1" ref="A1896:XFD1896" action="deleteRow">
    <rfmt sheetId="1" xfDxf="1" sqref="A1896:XFD1896" start="0" length="0">
      <dxf>
        <font>
          <color auto="1"/>
        </font>
      </dxf>
    </rfmt>
    <rfmt sheetId="1" sqref="B1896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6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6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6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96">
        <f>B1896-D1896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v guid="{FE5A4646-1F82-478B-AB34-931BAD185684}" action="delete"/>
  <rdn rId="0" localSheetId="1" customView="1" name="Z_FE5A4646_1F82_478B_AB34_931BAD185684_.wvu.PrintArea" hidden="1" oldHidden="1">
    <formula>январь!$A$6:$F$1645</formula>
    <oldFormula>январь!$A$6:$F$1645</oldFormula>
  </rdn>
  <rdn rId="0" localSheetId="1" customView="1" name="Z_FE5A4646_1F82_478B_AB34_931BAD185684_.wvu.PrintTitles" hidden="1" oldHidden="1">
    <formula>январь!$9:$10</formula>
    <oldFormula>январь!$9:$10</oldFormula>
  </rdn>
  <rdn rId="0" localSheetId="1" customView="1" name="Z_FE5A4646_1F82_478B_AB34_931BAD185684_.wvu.FilterData" hidden="1" oldHidden="1">
    <formula>январь!$A$10:$O$1646</formula>
    <oldFormula>январь!$A$10:$O$1646</oldFormula>
  </rdn>
  <rcv guid="{FE5A4646-1F82-478B-AB34-931BAD185684}" action="add"/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232:F1233" start="0" length="2147483647">
    <dxf>
      <font>
        <color rgb="FFFF0000"/>
      </font>
    </dxf>
  </rfmt>
  <rcc rId="1768" sId="1">
    <oc r="F1231">
      <f>F1234+F1232</f>
    </oc>
    <nc r="F1231">
      <f>F1234</f>
    </nc>
  </rcc>
  <rrc rId="1769" sId="1" ref="A1232:XFD1232" action="deleteRow">
    <undo index="0" exp="ref" v="1" dr="F1232" r="B2018" sId="1"/>
    <rfmt sheetId="1" xfDxf="1" sqref="A1232:XFD1232" start="0" length="0">
      <dxf>
        <font>
          <color auto="1"/>
        </font>
      </dxf>
    </rfmt>
    <rcc rId="0" sId="1" dxf="1">
      <nc r="A1232" t="inlineStr">
        <is>
          <t>Расходы на обеспечение деятельности (оказание услуг) муниципальных учреждений</t>
        </is>
      </nc>
      <ndxf>
        <font>
          <sz val="12"/>
          <color rgb="FFFF0000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2" t="inlineStr">
        <is>
          <t>913</t>
        </is>
      </nc>
      <ndxf>
        <font>
          <sz val="12"/>
          <color rgb="FFFF0000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32" t="inlineStr">
        <is>
          <t>0801</t>
        </is>
      </nc>
      <ndxf>
        <font>
          <sz val="12"/>
          <color rgb="FFFF0000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32" t="inlineStr">
        <is>
          <t>1900600590</t>
        </is>
      </nc>
      <ndxf>
        <font>
          <sz val="12"/>
          <color rgb="FFFF0000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32" start="0" length="0">
      <dxf>
        <font>
          <sz val="12"/>
          <color rgb="FFFF0000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32">
        <f>F1233</f>
      </nc>
      <ndxf>
        <font>
          <sz val="12"/>
          <color rgb="FFFF0000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32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1232" start="0" length="0">
      <dxf>
        <numFmt numFmtId="4" formatCode="#,##0.00"/>
      </dxf>
    </rfmt>
  </rrc>
  <rrc rId="1770" sId="1" ref="A1232:XFD1232" action="deleteRow">
    <rfmt sheetId="1" xfDxf="1" sqref="A1232:XFD1232" start="0" length="0">
      <dxf>
        <font>
          <color auto="1"/>
        </font>
      </dxf>
    </rfmt>
    <rcc rId="0" sId="1" dxf="1">
      <nc r="A1232" t="inlineStr">
        <is>
          <t xml:space="preserve">Субсидии автономным учреждениям </t>
        </is>
      </nc>
      <ndxf>
        <font>
          <sz val="12"/>
          <color rgb="FFFF0000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32" t="inlineStr">
        <is>
          <t>913</t>
        </is>
      </nc>
      <ndxf>
        <font>
          <sz val="12"/>
          <color rgb="FFFF0000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32" t="inlineStr">
        <is>
          <t>0801</t>
        </is>
      </nc>
      <ndxf>
        <font>
          <sz val="12"/>
          <color rgb="FFFF0000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32" t="inlineStr">
        <is>
          <t>1900600590</t>
        </is>
      </nc>
      <ndxf>
        <font>
          <sz val="12"/>
          <color rgb="FFFF0000"/>
        </font>
        <numFmt numFmtId="30" formatCode="@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32">
        <v>620</v>
      </nc>
      <ndxf>
        <font>
          <sz val="12"/>
          <color rgb="FFFF0000"/>
        </font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32">
        <v>26856.2</v>
      </nc>
      <ndxf>
        <font>
          <sz val="12"/>
          <color rgb="FFFF0000"/>
        </font>
        <numFmt numFmtId="165" formatCode="#,##0.0"/>
        <fill>
          <patternFill patternType="solid">
            <bgColor rgb="FFFFFF0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32">
        <v>26856.2</v>
      </nc>
      <ndxf>
        <font>
          <b/>
          <sz val="12"/>
          <color rgb="FFFF0000"/>
        </font>
        <numFmt numFmtId="169" formatCode="\+0.0"/>
        <alignment horizontal="left" readingOrder="0"/>
      </ndxf>
    </rcc>
    <rfmt sheetId="1" sqref="H1232" start="0" length="0">
      <dxf>
        <numFmt numFmtId="4" formatCode="#,##0.00"/>
      </dxf>
    </rfmt>
  </rrc>
  <rcc rId="1771" sId="1">
    <oc r="B2015">
      <f>#REF!</f>
    </oc>
    <nc r="B2015"/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164:F1164">
    <dxf>
      <fill>
        <patternFill>
          <bgColor theme="0"/>
        </patternFill>
      </fill>
    </dxf>
  </rfmt>
  <rfmt sheetId="1" sqref="D1169:F1169">
    <dxf>
      <fill>
        <patternFill>
          <bgColor theme="0"/>
        </patternFill>
      </fill>
    </dxf>
  </rfmt>
  <rfmt sheetId="1" sqref="D1240:F1240">
    <dxf>
      <fill>
        <patternFill>
          <bgColor theme="0"/>
        </patternFill>
      </fill>
    </dxf>
  </rfmt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2" sId="1">
    <oc r="A1339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</t>
      </is>
    </oc>
    <nc r="A1339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773" sId="1">
    <oc r="A1350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</t>
      </is>
    </oc>
    <nc r="A1350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774" sId="1">
    <oc r="A1355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</t>
      </is>
    </oc>
    <nc r="A1355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775" sId="1">
    <oc r="A1360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</t>
      </is>
    </oc>
    <nc r="A1360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776" sId="1">
    <oc r="A1366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</t>
      </is>
    </oc>
    <nc r="A1366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777" sId="1">
    <oc r="A1415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</t>
      </is>
    </oc>
    <nc r="A1415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778" sId="1">
    <oc r="A1452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</t>
      </is>
    </oc>
    <nc r="A1452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779" sId="1">
    <oc r="A1467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</t>
      </is>
    </oc>
    <nc r="A1467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v guid="{CF7D559D-0166-4787-B1BA-841D705C6F88}" action="delete"/>
  <rdn rId="0" localSheetId="1" customView="1" name="Z_CF7D559D_0166_4787_B1BA_841D705C6F88_.wvu.PrintArea" hidden="1" oldHidden="1">
    <formula>январь!$A$6:$F$1643</formula>
    <oldFormula>январь!$A$6:$F$1643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январь!$A$10:$O$1644</formula>
    <oldFormula>январь!$A$10:$O$1644</oldFormula>
  </rdn>
  <rcv guid="{CF7D559D-0166-4787-B1BA-841D705C6F88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663216F-E4C5-4B4E-838D-07E5C6B7FB5D}" action="delete"/>
  <rdn rId="0" localSheetId="1" customView="1" name="Z_1663216F_E4C5_4B4E_838D_07E5C6B7FB5D_.wvu.PrintArea" hidden="1" oldHidden="1">
    <formula>январь!$A$6:$F$1643</formula>
    <oldFormula>январь!$A$6:$F$1643</oldFormula>
  </rdn>
  <rdn rId="0" localSheetId="1" customView="1" name="Z_1663216F_E4C5_4B4E_838D_07E5C6B7FB5D_.wvu.PrintTitles" hidden="1" oldHidden="1">
    <formula>январь!$9:$10</formula>
    <oldFormula>январь!$9:$10</oldFormula>
  </rdn>
  <rdn rId="0" localSheetId="1" customView="1" name="Z_1663216F_E4C5_4B4E_838D_07E5C6B7FB5D_.wvu.FilterData" hidden="1" oldHidden="1">
    <formula>январь!$A$10:$O$1644</formula>
    <oldFormula>январь!$A$10:$O$1644</oldFormula>
  </rdn>
  <rcv guid="{1663216F-E4C5-4B4E-838D-07E5C6B7FB5D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F7D559D-0166-4787-B1BA-841D705C6F88}" action="delete"/>
  <rdn rId="0" localSheetId="1" customView="1" name="Z_CF7D559D_0166_4787_B1BA_841D705C6F88_.wvu.PrintArea" hidden="1" oldHidden="1">
    <formula>январь!$A$6:$F$1643</formula>
    <oldFormula>январь!$A$6:$F$1643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январь!$A$10:$O$1644</formula>
    <oldFormula>январь!$A$10:$O$1644</oldFormula>
  </rdn>
  <rcv guid="{CF7D559D-0166-4787-B1BA-841D705C6F88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9" sId="1">
    <oc r="F652">
      <f>F657+F655</f>
    </oc>
    <nc r="F652">
      <f>F657+F655+F653</f>
    </nc>
  </rcc>
  <rcc rId="1790" sId="1" numFmtId="4">
    <oc r="F411">
      <v>109042.9</v>
    </oc>
    <nc r="F411">
      <f>109042.9+14000</f>
    </nc>
  </rcc>
  <rcc rId="1791" sId="1" numFmtId="4">
    <nc r="G411">
      <v>14000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6AD508C-AEED-43C7-976B-DD33C28CD830}" action="delete"/>
  <rdn rId="0" localSheetId="1" customView="1" name="Z_A6AD508C_AEED_43C7_976B_DD33C28CD830_.wvu.PrintArea" hidden="1" oldHidden="1">
    <formula>январь!$A$6:$F$1643</formula>
    <oldFormula>январь!$A$6:$F$1643</oldFormula>
  </rdn>
  <rdn rId="0" localSheetId="1" customView="1" name="Z_A6AD508C_AEED_43C7_976B_DD33C28CD830_.wvu.PrintTitles" hidden="1" oldHidden="1">
    <formula>январь!$9:$10</formula>
    <oldFormula>январь!$9:$10</oldFormula>
  </rdn>
  <rdn rId="0" localSheetId="1" customView="1" name="Z_A6AD508C_AEED_43C7_976B_DD33C28CD830_.wvu.FilterData" hidden="1" oldHidden="1">
    <formula>январь!$A$10:$F$1644</formula>
    <oldFormula>январь!$A$10:$F$1644</oldFormula>
  </rdn>
  <rcv guid="{A6AD508C-AEED-43C7-976B-DD33C28CD830}" action="add"/>
</revisions>
</file>

<file path=xl/revisions/revisionLog17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январь!$A$6:$F$1646</formula>
    <oldFormula>январь!$A$6:$F$1646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январь!$A$10:$O$1647</formula>
    <oldFormula>январь!$A$10:$O$1647</oldFormula>
  </rdn>
  <rcv guid="{A1566C65-087F-49E5-974A-3CF262DD7D96}" action="add"/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5" sId="1">
    <nc r="G1412" t="inlineStr">
      <is>
        <t>-200</t>
      </is>
    </nc>
  </rcc>
  <rcc rId="1796" sId="1" numFmtId="4">
    <oc r="F1412">
      <v>200</v>
    </oc>
    <nc r="F1412">
      <f>200-200</f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январь!$A$6:$F$1595</formula>
    <oldFormula>январь!$A$6:$F$1595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январь!$A$10:$O$1596</formula>
    <oldFormula>январь!$A$10:$O$1596</oldFormula>
  </rdn>
  <rcv guid="{A1566C65-087F-49E5-974A-3CF262DD7D96}" action="add"/>
</revisions>
</file>

<file path=xl/revisions/revisionLog1711.xml><?xml version="1.0" encoding="utf-8"?>
<revisions xmlns="http://schemas.openxmlformats.org/spreadsheetml/2006/main" xmlns:r="http://schemas.openxmlformats.org/officeDocument/2006/relationships">
  <rcc rId="1039" sId="1" numFmtId="4">
    <nc r="G667">
      <v>-25</v>
    </nc>
  </rcc>
  <rfmt sheetId="1" sqref="G667">
    <dxf>
      <numFmt numFmtId="170" formatCode="#,##0.000"/>
    </dxf>
  </rfmt>
  <rfmt sheetId="1" sqref="G667">
    <dxf>
      <numFmt numFmtId="4" formatCode="#,##0.00"/>
    </dxf>
  </rfmt>
  <rfmt sheetId="1" sqref="G667">
    <dxf>
      <numFmt numFmtId="165" formatCode="#,##0.0"/>
    </dxf>
  </rfmt>
  <rcc rId="1040" sId="1" numFmtId="4">
    <oc r="F667">
      <v>25</v>
    </oc>
    <nc r="F667">
      <f>25-25</f>
    </nc>
  </rcc>
  <rrc rId="1041" sId="1" ref="A709:XFD714" action="insertRow"/>
  <rcc rId="1042" sId="1" odxf="1" dxf="1">
    <nc r="A709" t="inlineStr">
      <is>
        <t>ОБРАЗОВАНИЕ</t>
      </is>
    </nc>
    <odxf>
      <font>
        <b val="0"/>
        <sz val="12"/>
        <color theme="1"/>
      </font>
      <fill>
        <patternFill patternType="none">
          <bgColor indexed="65"/>
        </patternFill>
      </fill>
    </odxf>
    <ndxf>
      <font>
        <b/>
        <sz val="12"/>
        <color theme="1"/>
      </font>
      <fill>
        <patternFill patternType="solid">
          <bgColor theme="0"/>
        </patternFill>
      </fill>
    </ndxf>
  </rcc>
  <rfmt sheetId="1" sqref="B709" start="0" length="0">
    <dxf>
      <font>
        <b/>
        <sz val="12"/>
        <color theme="1"/>
      </font>
      <fill>
        <patternFill patternType="solid">
          <bgColor theme="0"/>
        </patternFill>
      </fill>
    </dxf>
  </rfmt>
  <rcc rId="1043" sId="1" odxf="1" dxf="1">
    <nc r="C709" t="inlineStr">
      <is>
        <t>0700</t>
      </is>
    </nc>
    <odxf>
      <font>
        <b val="0"/>
        <sz val="12"/>
        <color theme="1"/>
      </font>
      <fill>
        <patternFill patternType="none">
          <bgColor indexed="65"/>
        </patternFill>
      </fill>
    </odxf>
    <ndxf>
      <font>
        <b/>
        <sz val="12"/>
        <color theme="1"/>
      </font>
      <fill>
        <patternFill patternType="solid">
          <bgColor theme="0"/>
        </patternFill>
      </fill>
    </ndxf>
  </rcc>
  <rcc rId="1044" sId="1">
    <nc r="D709" t="inlineStr">
      <is>
        <t/>
      </is>
    </nc>
  </rcc>
  <rcc rId="1045" sId="1" odxf="1" dxf="1">
    <nc r="E709" t="inlineStr">
      <is>
        <t/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46" sId="1" odxf="1" dxf="1">
    <nc r="F709">
      <f>F710</f>
    </nc>
    <odxf>
      <font>
        <b val="0"/>
        <sz val="12"/>
        <color auto="1"/>
      </font>
    </odxf>
    <ndxf>
      <font>
        <b/>
        <sz val="12"/>
        <color auto="1"/>
      </font>
    </ndxf>
  </rcc>
  <rfmt sheetId="1" sqref="G709" start="0" length="0">
    <dxf>
      <font>
        <b val="0"/>
        <sz val="12"/>
        <color auto="1"/>
      </font>
      <fill>
        <patternFill patternType="none">
          <bgColor indexed="65"/>
        </patternFill>
      </fill>
    </dxf>
  </rfmt>
  <rfmt sheetId="1" sqref="H709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709" start="0" length="0">
    <dxf>
      <fill>
        <patternFill patternType="none">
          <bgColor indexed="65"/>
        </patternFill>
      </fill>
    </dxf>
  </rfmt>
  <rfmt sheetId="1" sqref="J709" start="0" length="0">
    <dxf>
      <fill>
        <patternFill patternType="none">
          <bgColor indexed="65"/>
        </patternFill>
      </fill>
    </dxf>
  </rfmt>
  <rfmt sheetId="1" sqref="K709" start="0" length="0">
    <dxf>
      <fill>
        <patternFill patternType="none">
          <bgColor indexed="65"/>
        </patternFill>
      </fill>
    </dxf>
  </rfmt>
  <rfmt sheetId="1" sqref="L709" start="0" length="0">
    <dxf>
      <fill>
        <patternFill patternType="none">
          <bgColor indexed="65"/>
        </patternFill>
      </fill>
    </dxf>
  </rfmt>
  <rfmt sheetId="1" sqref="M709" start="0" length="0">
    <dxf>
      <fill>
        <patternFill patternType="none">
          <bgColor indexed="65"/>
        </patternFill>
      </fill>
    </dxf>
  </rfmt>
  <rfmt sheetId="1" sqref="N709" start="0" length="0">
    <dxf>
      <fill>
        <patternFill patternType="none">
          <bgColor indexed="65"/>
        </patternFill>
      </fill>
    </dxf>
  </rfmt>
  <rfmt sheetId="1" sqref="O709" start="0" length="0">
    <dxf>
      <fill>
        <patternFill patternType="none">
          <bgColor indexed="65"/>
        </patternFill>
      </fill>
    </dxf>
  </rfmt>
  <rfmt sheetId="1" sqref="A709:XFD709" start="0" length="0">
    <dxf>
      <fill>
        <patternFill patternType="none">
          <bgColor indexed="65"/>
        </patternFill>
      </fill>
    </dxf>
  </rfmt>
  <rcc rId="1047" sId="1" odxf="1" dxf="1">
    <nc r="A710" t="inlineStr">
      <is>
        <t>Профессиональная подготовка, переподготовка и повышение квалификации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710" start="0" length="0">
    <dxf>
      <fill>
        <patternFill patternType="solid">
          <bgColor theme="0"/>
        </patternFill>
      </fill>
    </dxf>
  </rfmt>
  <rcc rId="1048" sId="1" odxf="1" dxf="1">
    <nc r="C710" t="inlineStr">
      <is>
        <t>0705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fmt sheetId="1" sqref="E710" start="0" length="0">
    <dxf>
      <fill>
        <patternFill patternType="solid">
          <bgColor theme="0"/>
        </patternFill>
      </fill>
    </dxf>
  </rfmt>
  <rcc rId="1049" sId="1">
    <nc r="F710">
      <f>F711</f>
    </nc>
  </rcc>
  <rfmt sheetId="1" sqref="G710" start="0" length="0">
    <dxf>
      <font>
        <b val="0"/>
        <sz val="12"/>
        <color auto="1"/>
      </font>
      <numFmt numFmtId="3" formatCode="#,##0"/>
      <fill>
        <patternFill patternType="none">
          <bgColor indexed="65"/>
        </patternFill>
      </fill>
    </dxf>
  </rfmt>
  <rfmt sheetId="1" sqref="H710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710" start="0" length="0">
    <dxf>
      <fill>
        <patternFill patternType="none">
          <bgColor indexed="65"/>
        </patternFill>
      </fill>
    </dxf>
  </rfmt>
  <rfmt sheetId="1" sqref="J710" start="0" length="0">
    <dxf>
      <fill>
        <patternFill patternType="none">
          <bgColor indexed="65"/>
        </patternFill>
      </fill>
    </dxf>
  </rfmt>
  <rfmt sheetId="1" sqref="K710" start="0" length="0">
    <dxf>
      <fill>
        <patternFill patternType="none">
          <bgColor indexed="65"/>
        </patternFill>
      </fill>
    </dxf>
  </rfmt>
  <rfmt sheetId="1" sqref="L710" start="0" length="0">
    <dxf>
      <fill>
        <patternFill patternType="none">
          <bgColor indexed="65"/>
        </patternFill>
      </fill>
    </dxf>
  </rfmt>
  <rfmt sheetId="1" sqref="M710" start="0" length="0">
    <dxf>
      <fill>
        <patternFill patternType="none">
          <bgColor indexed="65"/>
        </patternFill>
      </fill>
    </dxf>
  </rfmt>
  <rfmt sheetId="1" sqref="N710" start="0" length="0">
    <dxf>
      <fill>
        <patternFill patternType="none">
          <bgColor indexed="65"/>
        </patternFill>
      </fill>
    </dxf>
  </rfmt>
  <rfmt sheetId="1" sqref="O710" start="0" length="0">
    <dxf>
      <fill>
        <patternFill patternType="none">
          <bgColor indexed="65"/>
        </patternFill>
      </fill>
    </dxf>
  </rfmt>
  <rfmt sheetId="1" sqref="A710:XFD710" start="0" length="0">
    <dxf>
      <fill>
        <patternFill patternType="none">
          <bgColor indexed="65"/>
        </patternFill>
      </fill>
    </dxf>
  </rfmt>
  <rcc rId="1050" sId="1" odxf="1" dxf="1">
    <nc r="A711" t="inlineStr">
      <is>
        <t>Муниципальная программа "Реформирование и развитие системы муниципальной службы в администрации города Южно-Сахалинска (2015-2020 годы)"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711" start="0" length="0">
    <dxf>
      <fill>
        <patternFill patternType="solid">
          <bgColor theme="0"/>
        </patternFill>
      </fill>
    </dxf>
  </rfmt>
  <rcc rId="1051" sId="1" odxf="1" dxf="1">
    <nc r="C711" t="inlineStr">
      <is>
        <t>0705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1052" sId="1">
    <nc r="D711" t="inlineStr">
      <is>
        <t>0300000000</t>
      </is>
    </nc>
  </rcc>
  <rcc rId="1053" sId="1" odxf="1" dxf="1">
    <nc r="E711" t="inlineStr">
      <is>
        <t/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54" sId="1">
    <nc r="F711">
      <f>F712</f>
    </nc>
  </rcc>
  <rfmt sheetId="1" sqref="G711" start="0" length="0">
    <dxf>
      <font>
        <b val="0"/>
        <sz val="12"/>
        <color auto="1"/>
      </font>
      <numFmt numFmtId="3" formatCode="#,##0"/>
      <fill>
        <patternFill patternType="none">
          <bgColor indexed="65"/>
        </patternFill>
      </fill>
    </dxf>
  </rfmt>
  <rfmt sheetId="1" sqref="H711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711" start="0" length="0">
    <dxf>
      <fill>
        <patternFill patternType="none">
          <bgColor indexed="65"/>
        </patternFill>
      </fill>
    </dxf>
  </rfmt>
  <rfmt sheetId="1" sqref="J711" start="0" length="0">
    <dxf>
      <fill>
        <patternFill patternType="none">
          <bgColor indexed="65"/>
        </patternFill>
      </fill>
    </dxf>
  </rfmt>
  <rfmt sheetId="1" sqref="K711" start="0" length="0">
    <dxf>
      <fill>
        <patternFill patternType="none">
          <bgColor indexed="65"/>
        </patternFill>
      </fill>
    </dxf>
  </rfmt>
  <rfmt sheetId="1" sqref="L711" start="0" length="0">
    <dxf>
      <fill>
        <patternFill patternType="none">
          <bgColor indexed="65"/>
        </patternFill>
      </fill>
    </dxf>
  </rfmt>
  <rfmt sheetId="1" sqref="M711" start="0" length="0">
    <dxf>
      <fill>
        <patternFill patternType="none">
          <bgColor indexed="65"/>
        </patternFill>
      </fill>
    </dxf>
  </rfmt>
  <rfmt sheetId="1" sqref="N711" start="0" length="0">
    <dxf>
      <fill>
        <patternFill patternType="none">
          <bgColor indexed="65"/>
        </patternFill>
      </fill>
    </dxf>
  </rfmt>
  <rfmt sheetId="1" sqref="O711" start="0" length="0">
    <dxf>
      <fill>
        <patternFill patternType="none">
          <bgColor indexed="65"/>
        </patternFill>
      </fill>
    </dxf>
  </rfmt>
  <rfmt sheetId="1" sqref="A711:XFD711" start="0" length="0">
    <dxf>
      <fill>
        <patternFill patternType="none">
          <bgColor indexed="65"/>
        </patternFill>
      </fill>
    </dxf>
  </rfmt>
  <rcc rId="1055" sId="1" odxf="1" dxf="1">
    <nc r="A712" t="inlineStr">
      <is>
        <t>Дополнительное образование муниципальных служащих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712" start="0" length="0">
    <dxf>
      <fill>
        <patternFill patternType="solid">
          <bgColor theme="0"/>
        </patternFill>
      </fill>
    </dxf>
  </rfmt>
  <rcc rId="1056" sId="1" odxf="1" dxf="1">
    <nc r="C712" t="inlineStr">
      <is>
        <t>0705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1057" sId="1">
    <nc r="D712" t="inlineStr">
      <is>
        <t>0300200000</t>
      </is>
    </nc>
  </rcc>
  <rcc rId="1058" sId="1" odxf="1" dxf="1">
    <nc r="E712" t="inlineStr">
      <is>
        <t/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59" sId="1">
    <nc r="F712">
      <f>F713</f>
    </nc>
  </rcc>
  <rfmt sheetId="1" sqref="G712" start="0" length="0">
    <dxf>
      <font>
        <b val="0"/>
        <sz val="12"/>
        <color auto="1"/>
      </font>
      <numFmt numFmtId="165" formatCode="#,##0.0"/>
      <fill>
        <patternFill patternType="none">
          <bgColor indexed="65"/>
        </patternFill>
      </fill>
    </dxf>
  </rfmt>
  <rfmt sheetId="1" sqref="H712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712" start="0" length="0">
    <dxf>
      <fill>
        <patternFill patternType="none">
          <bgColor indexed="65"/>
        </patternFill>
      </fill>
    </dxf>
  </rfmt>
  <rfmt sheetId="1" sqref="J712" start="0" length="0">
    <dxf>
      <fill>
        <patternFill patternType="none">
          <bgColor indexed="65"/>
        </patternFill>
      </fill>
    </dxf>
  </rfmt>
  <rfmt sheetId="1" sqref="K712" start="0" length="0">
    <dxf>
      <fill>
        <patternFill patternType="none">
          <bgColor indexed="65"/>
        </patternFill>
      </fill>
    </dxf>
  </rfmt>
  <rfmt sheetId="1" sqref="L712" start="0" length="0">
    <dxf>
      <fill>
        <patternFill patternType="none">
          <bgColor indexed="65"/>
        </patternFill>
      </fill>
    </dxf>
  </rfmt>
  <rfmt sheetId="1" sqref="M712" start="0" length="0">
    <dxf>
      <fill>
        <patternFill patternType="none">
          <bgColor indexed="65"/>
        </patternFill>
      </fill>
    </dxf>
  </rfmt>
  <rfmt sheetId="1" sqref="N712" start="0" length="0">
    <dxf>
      <fill>
        <patternFill patternType="none">
          <bgColor indexed="65"/>
        </patternFill>
      </fill>
    </dxf>
  </rfmt>
  <rfmt sheetId="1" sqref="O712" start="0" length="0">
    <dxf>
      <fill>
        <patternFill patternType="none">
          <bgColor indexed="65"/>
        </patternFill>
      </fill>
    </dxf>
  </rfmt>
  <rfmt sheetId="1" sqref="A712:XFD712" start="0" length="0">
    <dxf>
      <fill>
        <patternFill patternType="none">
          <bgColor indexed="65"/>
        </patternFill>
      </fill>
    </dxf>
  </rfmt>
  <rcc rId="1060" sId="1" odxf="1" dxf="1">
    <nc r="A713" t="inlineStr">
      <is>
        <t>Дополнительное профессиональное образование муниципальных служащих</t>
      </is>
    </nc>
    <odxf>
      <fill>
        <patternFill patternType="none">
          <bgColor indexed="65"/>
        </patternFill>
      </fill>
      <alignment horizontal="left" vertical="top" readingOrder="0"/>
    </odxf>
    <ndxf>
      <fill>
        <patternFill patternType="solid">
          <bgColor theme="0"/>
        </patternFill>
      </fill>
      <alignment horizontal="general" vertical="center" readingOrder="0"/>
    </ndxf>
  </rcc>
  <rfmt sheetId="1" sqref="B713" start="0" length="0">
    <dxf>
      <fill>
        <patternFill patternType="solid">
          <bgColor theme="0"/>
        </patternFill>
      </fill>
    </dxf>
  </rfmt>
  <rcc rId="1061" sId="1" odxf="1" dxf="1">
    <nc r="C713" t="inlineStr">
      <is>
        <t>0705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1062" sId="1">
    <nc r="D713" t="inlineStr">
      <is>
        <t>0300220400</t>
      </is>
    </nc>
  </rcc>
  <rfmt sheetId="1" sqref="E713" start="0" length="0">
    <dxf>
      <fill>
        <patternFill patternType="solid">
          <bgColor theme="0"/>
        </patternFill>
      </fill>
    </dxf>
  </rfmt>
  <rcc rId="1063" sId="1">
    <nc r="F713">
      <f>F714</f>
    </nc>
  </rcc>
  <rfmt sheetId="1" sqref="G713" start="0" length="0">
    <dxf>
      <fill>
        <patternFill patternType="none">
          <bgColor indexed="65"/>
        </patternFill>
      </fill>
    </dxf>
  </rfmt>
  <rfmt sheetId="1" sqref="H713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713" start="0" length="0">
    <dxf>
      <fill>
        <patternFill patternType="none">
          <bgColor indexed="65"/>
        </patternFill>
      </fill>
    </dxf>
  </rfmt>
  <rfmt sheetId="1" sqref="J713" start="0" length="0">
    <dxf>
      <fill>
        <patternFill patternType="none">
          <bgColor indexed="65"/>
        </patternFill>
      </fill>
    </dxf>
  </rfmt>
  <rfmt sheetId="1" sqref="K713" start="0" length="0">
    <dxf>
      <fill>
        <patternFill patternType="none">
          <bgColor indexed="65"/>
        </patternFill>
      </fill>
    </dxf>
  </rfmt>
  <rfmt sheetId="1" sqref="L713" start="0" length="0">
    <dxf>
      <fill>
        <patternFill patternType="none">
          <bgColor indexed="65"/>
        </patternFill>
      </fill>
    </dxf>
  </rfmt>
  <rfmt sheetId="1" sqref="M713" start="0" length="0">
    <dxf>
      <fill>
        <patternFill patternType="none">
          <bgColor indexed="65"/>
        </patternFill>
      </fill>
    </dxf>
  </rfmt>
  <rfmt sheetId="1" sqref="N713" start="0" length="0">
    <dxf>
      <fill>
        <patternFill patternType="none">
          <bgColor indexed="65"/>
        </patternFill>
      </fill>
    </dxf>
  </rfmt>
  <rfmt sheetId="1" sqref="O713" start="0" length="0">
    <dxf>
      <fill>
        <patternFill patternType="none">
          <bgColor indexed="65"/>
        </patternFill>
      </fill>
    </dxf>
  </rfmt>
  <rfmt sheetId="1" sqref="A713:XFD713" start="0" length="0">
    <dxf>
      <fill>
        <patternFill patternType="none">
          <bgColor indexed="65"/>
        </patternFill>
      </fill>
    </dxf>
  </rfmt>
  <rcc rId="1064" sId="1" odxf="1" dxf="1">
    <nc r="A714" t="inlineStr">
      <is>
        <t>Иные закупки товаров, работ и услуг для обеспечения государственных (муниципальных) нужд</t>
      </is>
    </nc>
    <odxf>
      <font>
        <sz val="12"/>
        <color theme="1"/>
      </font>
      <fill>
        <patternFill patternType="none">
          <bgColor indexed="65"/>
        </patternFill>
      </fill>
    </odxf>
    <ndxf>
      <font>
        <sz val="12"/>
        <color auto="1"/>
      </font>
      <fill>
        <patternFill patternType="solid">
          <bgColor theme="0"/>
        </patternFill>
      </fill>
    </ndxf>
  </rcc>
  <rfmt sheetId="1" sqref="B714" start="0" length="0">
    <dxf>
      <fill>
        <patternFill patternType="solid">
          <bgColor theme="0"/>
        </patternFill>
      </fill>
    </dxf>
  </rfmt>
  <rcc rId="1065" sId="1" odxf="1" dxf="1">
    <nc r="C714" t="inlineStr">
      <is>
        <t>0705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1066" sId="1">
    <nc r="D714" t="inlineStr">
      <is>
        <t>0300220400</t>
      </is>
    </nc>
  </rcc>
  <rcc rId="1067" sId="1" odxf="1" dxf="1">
    <nc r="E714">
      <v>240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68" sId="1">
    <nc r="F714">
      <f>25</f>
    </nc>
  </rcc>
  <rcc rId="1069" sId="1" odxf="1" dxf="1">
    <nc r="G714" t="inlineStr">
      <is>
        <t>+25,0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714" start="0" length="0">
    <dxf>
      <font>
        <b val="0"/>
        <sz val="12"/>
        <color auto="1"/>
      </font>
      <numFmt numFmtId="4" formatCode="#,##0.00"/>
      <fill>
        <patternFill patternType="none">
          <bgColor indexed="65"/>
        </patternFill>
      </fill>
      <alignment horizontal="general" readingOrder="0"/>
    </dxf>
  </rfmt>
  <rfmt sheetId="1" sqref="I714" start="0" length="0">
    <dxf>
      <fill>
        <patternFill patternType="none">
          <bgColor indexed="65"/>
        </patternFill>
      </fill>
    </dxf>
  </rfmt>
  <rfmt sheetId="1" sqref="J714" start="0" length="0">
    <dxf>
      <fill>
        <patternFill patternType="none">
          <bgColor indexed="65"/>
        </patternFill>
      </fill>
    </dxf>
  </rfmt>
  <rfmt sheetId="1" sqref="K714" start="0" length="0">
    <dxf>
      <fill>
        <patternFill patternType="none">
          <bgColor indexed="65"/>
        </patternFill>
      </fill>
    </dxf>
  </rfmt>
  <rfmt sheetId="1" sqref="L714" start="0" length="0">
    <dxf>
      <fill>
        <patternFill patternType="none">
          <bgColor indexed="65"/>
        </patternFill>
      </fill>
    </dxf>
  </rfmt>
  <rfmt sheetId="1" sqref="M714" start="0" length="0">
    <dxf>
      <fill>
        <patternFill patternType="none">
          <bgColor indexed="65"/>
        </patternFill>
      </fill>
    </dxf>
  </rfmt>
  <rfmt sheetId="1" sqref="N714" start="0" length="0">
    <dxf>
      <fill>
        <patternFill patternType="none">
          <bgColor indexed="65"/>
        </patternFill>
      </fill>
    </dxf>
  </rfmt>
  <rfmt sheetId="1" sqref="O714" start="0" length="0">
    <dxf>
      <fill>
        <patternFill patternType="none">
          <bgColor indexed="65"/>
        </patternFill>
      </fill>
    </dxf>
  </rfmt>
  <rfmt sheetId="1" sqref="A714:XFD714" start="0" length="0">
    <dxf>
      <fill>
        <patternFill patternType="none">
          <bgColor indexed="65"/>
        </patternFill>
      </fill>
    </dxf>
  </rfmt>
  <rcc rId="1070" sId="1">
    <nc r="B709">
      <v>903</v>
    </nc>
  </rcc>
  <rcc rId="1071" sId="1">
    <nc r="B710">
      <v>903</v>
    </nc>
  </rcc>
  <rcc rId="1072" sId="1">
    <nc r="B711">
      <v>903</v>
    </nc>
  </rcc>
  <rcc rId="1073" sId="1">
    <nc r="B712">
      <v>903</v>
    </nc>
  </rcc>
  <rcc rId="1074" sId="1">
    <nc r="B713">
      <v>903</v>
    </nc>
  </rcc>
  <rcc rId="1075" sId="1">
    <nc r="B714">
      <v>903</v>
    </nc>
  </rcc>
  <rcc rId="1076" sId="1">
    <oc r="F649">
      <f>F650+F656+F698+F715</f>
    </oc>
    <nc r="F649">
      <f>F650+F656+F698+F715+F709</f>
    </nc>
  </rcc>
  <rcc rId="1077" sId="1">
    <oc r="B1895">
      <f>F480+F1449+F745+F1503</f>
    </oc>
    <nc r="B1895">
      <f>F480+F1455+F751+F1509+F932+F713</f>
    </nc>
  </rcc>
  <rcv guid="{A1566C65-087F-49E5-974A-3CF262DD7D96}" action="delete"/>
  <rdn rId="0" localSheetId="1" customView="1" name="Z_A1566C65_087F_49E5_974A_3CF262DD7D96_.wvu.PrintArea" hidden="1" oldHidden="1">
    <formula>январь!$A$6:$F$1593</formula>
    <oldFormula>январь!$A$6:$F$1593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январь!$A$10:$O$1594</formula>
    <oldFormula>январь!$A$10:$O$1594</oldFormula>
  </rdn>
  <rcv guid="{A1566C65-087F-49E5-974A-3CF262DD7D96}" action="add"/>
</revisions>
</file>

<file path=xl/revisions/revisionLog17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5" sId="1" ref="A194:XFD194" action="insertRow"/>
  <rrc rId="356" sId="1" ref="A194:XFD194" action="insertRow"/>
  <rrc rId="357" sId="1" ref="A194:XFD194" action="insertRow"/>
  <rcc rId="358" sId="1" odxf="1" dxf="1">
    <nc r="A194" t="inlineStr">
      <is>
        <t>Приобретение и ввод в эксплуатацию специальной пожарной и аварийно-спасательной техники</t>
      </is>
    </nc>
    <odxf>
      <fill>
        <patternFill patternType="solid">
          <bgColor theme="0"/>
        </patternFill>
      </fill>
      <alignment vertical="top" readingOrder="0"/>
    </odxf>
    <ndxf>
      <fill>
        <patternFill patternType="none">
          <bgColor indexed="65"/>
        </patternFill>
      </fill>
      <alignment vertical="center" readingOrder="0"/>
    </ndxf>
  </rcc>
  <rcc rId="359" sId="1">
    <nc r="A195" t="inlineStr">
      <is>
        <t>Иные обязательства, возникающие при реализации муниципальных программ</t>
      </is>
    </nc>
  </rcc>
  <rcc rId="360" sId="1" odxf="1" dxf="1">
    <nc r="A196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vertical="top" readingOrder="0"/>
    </odxf>
    <ndxf>
      <fill>
        <patternFill patternType="none">
          <bgColor indexed="65"/>
        </patternFill>
      </fill>
      <alignment horizontal="general" vertical="center" readingOrder="0"/>
    </ndxf>
  </rcc>
  <rcc rId="361" sId="1">
    <nc r="B194" t="inlineStr">
      <is>
        <t>902</t>
      </is>
    </nc>
  </rcc>
  <rcc rId="362" sId="1">
    <nc r="B195" t="inlineStr">
      <is>
        <t>902</t>
      </is>
    </nc>
  </rcc>
  <rcc rId="363" sId="1">
    <nc r="B196" t="inlineStr">
      <is>
        <t>902</t>
      </is>
    </nc>
  </rcc>
  <rcc rId="364" sId="1">
    <nc r="C194" t="inlineStr">
      <is>
        <t>0309</t>
      </is>
    </nc>
  </rcc>
  <rcc rId="365" sId="1">
    <nc r="C195" t="inlineStr">
      <is>
        <t>0309</t>
      </is>
    </nc>
  </rcc>
  <rcc rId="366" sId="1">
    <nc r="C196" t="inlineStr">
      <is>
        <t>0309</t>
      </is>
    </nc>
  </rcc>
  <rcc rId="367" sId="1" odxf="1" dxf="1">
    <nc r="D194" t="inlineStr">
      <is>
        <t>2210300000</t>
      </is>
    </nc>
    <odxf>
      <font>
        <sz val="12"/>
        <color theme="1"/>
      </font>
      <fill>
        <patternFill patternType="solid">
          <bgColor theme="0"/>
        </patternFill>
      </fill>
    </odxf>
    <ndxf>
      <font>
        <sz val="12"/>
        <color auto="1"/>
      </font>
      <fill>
        <patternFill patternType="none">
          <bgColor indexed="65"/>
        </patternFill>
      </fill>
    </ndxf>
  </rcc>
  <rcc rId="368" sId="1" odxf="1" dxf="1">
    <nc r="D195" t="inlineStr">
      <is>
        <t>2210320990</t>
      </is>
    </nc>
    <odxf>
      <font>
        <sz val="12"/>
        <color theme="1"/>
      </font>
      <fill>
        <patternFill patternType="solid">
          <bgColor theme="0"/>
        </patternFill>
      </fill>
    </odxf>
    <ndxf>
      <font>
        <sz val="12"/>
        <color auto="1"/>
      </font>
      <fill>
        <patternFill patternType="none">
          <bgColor indexed="65"/>
        </patternFill>
      </fill>
    </ndxf>
  </rcc>
  <rcc rId="369" sId="1" odxf="1" dxf="1">
    <nc r="D196" t="inlineStr">
      <is>
        <t>2210320990</t>
      </is>
    </nc>
    <odxf>
      <font>
        <sz val="12"/>
        <color theme="1"/>
      </font>
      <fill>
        <patternFill patternType="solid">
          <bgColor theme="0"/>
        </patternFill>
      </fill>
    </odxf>
    <ndxf>
      <font>
        <sz val="12"/>
        <color auto="1"/>
      </font>
      <fill>
        <patternFill patternType="none">
          <bgColor indexed="65"/>
        </patternFill>
      </fill>
    </ndxf>
  </rcc>
  <rcc rId="370" sId="1">
    <nc r="E196">
      <v>240</v>
    </nc>
  </rcc>
  <rcc rId="371" sId="1" odxf="1" dxf="1">
    <nc r="G196" t="inlineStr">
      <is>
        <t>+6425</t>
      </is>
    </nc>
    <odxf>
      <font>
        <b val="0"/>
        <sz val="12"/>
        <color auto="1"/>
      </font>
      <numFmt numFmtId="3" formatCode="#,##0"/>
      <alignment horizontal="left" readingOrder="0"/>
    </odxf>
    <ndxf>
      <font>
        <b/>
        <sz val="12"/>
        <color rgb="FFFFCCFF"/>
      </font>
      <numFmt numFmtId="30" formatCode="@"/>
      <alignment horizontal="general" readingOrder="0"/>
    </ndxf>
  </rcc>
  <rcc rId="372" sId="1" numFmtId="4">
    <nc r="F196">
      <v>6425</v>
    </nc>
  </rcc>
  <rcc rId="373" sId="1">
    <nc r="F194">
      <f>F195</f>
    </nc>
  </rcc>
  <rcc rId="374" sId="1">
    <nc r="F195">
      <f>F196</f>
    </nc>
  </rcc>
  <rcc rId="375" sId="1">
    <oc r="F190">
      <f>F191+F197</f>
    </oc>
    <nc r="F190">
      <f>F191+F194+F197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6AD508C-AEED-43C7-976B-DD33C28CD830}" action="delete"/>
  <rdn rId="0" localSheetId="1" customView="1" name="Z_A6AD508C_AEED_43C7_976B_DD33C28CD830_.wvu.PrintArea" hidden="1" oldHidden="1">
    <formula>январь!$A$6:$F$1643</formula>
    <oldFormula>январь!$A$6:$F$1643</oldFormula>
  </rdn>
  <rdn rId="0" localSheetId="1" customView="1" name="Z_A6AD508C_AEED_43C7_976B_DD33C28CD830_.wvu.PrintTitles" hidden="1" oldHidden="1">
    <formula>январь!$9:$10</formula>
    <oldFormula>январь!$9:$10</oldFormula>
  </rdn>
  <rdn rId="0" localSheetId="1" customView="1" name="Z_A6AD508C_AEED_43C7_976B_DD33C28CD830_.wvu.FilterData" hidden="1" oldHidden="1">
    <formula>январь!$A$10:$F$1644</formula>
    <oldFormula>январь!$A$10:$F$1644</oldFormula>
  </rdn>
  <rcv guid="{A6AD508C-AEED-43C7-976B-DD33C28CD830}" action="add"/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631">
      <v>17111.7</v>
    </oc>
    <nc r="F631">
      <f>17111.7-10000</f>
    </nc>
  </rcc>
  <rcc rId="1801" sId="1">
    <nc r="G631">
      <v>-10000</v>
    </nc>
  </rcc>
  <rcc rId="1802" sId="1" numFmtId="4">
    <oc r="F634">
      <v>2000</v>
    </oc>
    <nc r="F634">
      <f>2000-100</f>
    </nc>
  </rcc>
  <rcc rId="1803" sId="1">
    <nc r="G634">
      <v>-100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4" sId="1">
    <oc r="B1752">
      <f>F1320</f>
    </oc>
    <nc r="B1752">
      <f>F1320+F276</f>
    </nc>
  </rcc>
  <rcc rId="1805" sId="1">
    <oc r="B1753">
      <f>SUM(B1754:B1766)</f>
    </oc>
    <nc r="B1753">
      <f>SUM(B1754:B1767)</f>
    </nc>
  </rcc>
  <rcc rId="1806" sId="1" numFmtId="4">
    <oc r="B1834">
      <v>0</v>
    </oc>
    <nc r="B1834">
      <f>F403</f>
    </nc>
  </rcc>
  <rcc rId="1807" sId="1">
    <oc r="B1859">
      <f>F436</f>
    </oc>
    <nc r="B1859">
      <f>F436+F1178</f>
    </nc>
  </rcc>
  <rcc rId="1808" sId="1">
    <oc r="B1855">
      <f>F1462+F730</f>
    </oc>
    <nc r="B1855">
      <f>F1462+F730+F432</f>
    </nc>
  </rcc>
  <rcc rId="1809" sId="1">
    <oc r="F609">
      <f>F610+F612+F614</f>
    </oc>
    <nc r="F609">
      <f>F610</f>
    </nc>
  </rcc>
  <rcc rId="1810" sId="1">
    <oc r="F608">
      <f>F609</f>
    </oc>
    <nc r="F608">
      <f>F609+F611+F613</f>
    </nc>
  </rcc>
  <rcc rId="1811" sId="1">
    <oc r="B2103">
      <f>F631</f>
    </oc>
    <nc r="B2103">
      <f>F630</f>
    </nc>
  </rcc>
  <rcc rId="1812" sId="1">
    <oc r="B2104">
      <f>F634</f>
    </oc>
    <nc r="B2104">
      <f>F633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13" sId="1">
    <oc r="G1389" t="inlineStr">
      <is>
        <t>-2 400</t>
      </is>
    </oc>
    <nc r="G1389" t="inlineStr">
      <is>
        <t>-2 400    +39,3</t>
      </is>
    </nc>
  </rcc>
  <rcc rId="1814" sId="1">
    <oc r="F1389">
      <f>3920-2400</f>
    </oc>
    <nc r="F1389">
      <f>3920-2400+39.3</f>
    </nc>
  </rcc>
  <rcc rId="1815" sId="1">
    <nc r="G1404" t="inlineStr">
      <is>
        <t>+1,7</t>
      </is>
    </nc>
  </rcc>
  <rcc rId="1816" sId="1" numFmtId="4">
    <oc r="F1404">
      <v>177</v>
    </oc>
    <nc r="F1404">
      <f>177+1.7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17" sId="1">
    <nc r="G1416" t="inlineStr">
      <is>
        <t>+159</t>
      </is>
    </nc>
  </rcc>
  <rcc rId="1818" sId="1" numFmtId="4">
    <oc r="F1416">
      <v>18500</v>
    </oc>
    <nc r="F1416">
      <f>18500+159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732" start="0" length="2147483647">
    <dxf>
      <font>
        <b/>
      </font>
    </dxf>
  </rfmt>
  <rcv guid="{CF7D559D-0166-4787-B1BA-841D705C6F88}" action="delete"/>
  <rdn rId="0" localSheetId="1" customView="1" name="Z_CF7D559D_0166_4787_B1BA_841D705C6F88_.wvu.PrintArea" hidden="1" oldHidden="1">
    <formula>январь!$A$6:$F$1643</formula>
    <oldFormula>январь!$A$6:$F$1643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январь!$A$10:$O$1644</formula>
    <oldFormula>январь!$A$10:$O$1644</oldFormula>
  </rdn>
  <rcv guid="{CF7D559D-0166-4787-B1BA-841D705C6F88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CE5A45D-2312-4713-A5DC-016ED1C7E17E}" action="delete"/>
  <rdn rId="0" localSheetId="1" customView="1" name="Z_1CE5A45D_2312_4713_A5DC_016ED1C7E17E_.wvu.PrintArea" hidden="1" oldHidden="1">
    <formula>январь!$A$6:$F$1643</formula>
    <oldFormula>январь!$A$6:$F$1643</oldFormula>
  </rdn>
  <rdn rId="0" localSheetId="1" customView="1" name="Z_1CE5A45D_2312_4713_A5DC_016ED1C7E17E_.wvu.PrintTitles" hidden="1" oldHidden="1">
    <formula>январь!$9:$10</formula>
    <oldFormula>январь!$9:$10</oldFormula>
  </rdn>
  <rdn rId="0" localSheetId="1" customView="1" name="Z_1CE5A45D_2312_4713_A5DC_016ED1C7E17E_.wvu.FilterData" hidden="1" oldHidden="1">
    <formula>январь!$A$10:$F$1644</formula>
    <oldFormula>январь!$A$10:$F$1644</oldFormula>
  </rdn>
  <rcv guid="{1CE5A45D-2312-4713-A5DC-016ED1C7E17E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25" sId="1" ref="A370:XFD370" action="insertRow"/>
  <rrc rId="1826" sId="1" ref="A370:XFD370" action="insertRow"/>
  <rrc rId="1827" sId="1" ref="A370:XFD370" action="insertRow"/>
</revisions>
</file>

<file path=xl/revisions/revisionLog18.xml><?xml version="1.0" encoding="utf-8"?>
<revisions xmlns="http://schemas.openxmlformats.org/spreadsheetml/2006/main" xmlns:r="http://schemas.openxmlformats.org/officeDocument/2006/relationships">
  <rcv guid="{A1566C65-087F-49E5-974A-3CF262DD7D96}" action="delete"/>
  <rdn rId="0" localSheetId="1" customView="1" name="Z_A1566C65_087F_49E5_974A_3CF262DD7D96_.wvu.PrintArea" hidden="1" oldHidden="1">
    <formula>январь!$A$6:$F$1646</formula>
    <oldFormula>январь!$A$6:$F$1646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январь!$A$10:$O$1647</formula>
    <oldFormula>январь!$A$10:$O$1647</oldFormula>
  </rdn>
  <rcv guid="{A1566C65-087F-49E5-974A-3CF262DD7D96}" action="add"/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28" sId="1">
    <oc r="F1307">
      <f>F1308+F1319+F1379+F1506+F1500</f>
    </oc>
    <nc r="F1307">
      <f>F1308+F1319+F1379+F1506+F1500+F1494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29" sId="1" odxf="1" dxf="1">
    <nc r="A370" t="inlineStr">
      <is>
        <t>Признание в установленном порядке жилых домов аварийными или непригодными для проживания. Проведение обследования и предоставление заключений об аварийности жилых домов</t>
      </is>
    </nc>
    <odxf>
      <font>
        <sz val="12"/>
        <color theme="1"/>
      </font>
      <fill>
        <patternFill patternType="solid">
          <bgColor theme="0"/>
        </patternFill>
      </fill>
    </odxf>
    <ndxf>
      <font>
        <sz val="12"/>
        <color auto="1"/>
      </font>
      <fill>
        <patternFill patternType="none">
          <bgColor indexed="65"/>
        </patternFill>
      </fill>
    </ndxf>
  </rcc>
  <rcc rId="1830" sId="1">
    <nc r="B370">
      <v>902</v>
    </nc>
  </rcc>
  <rfmt sheetId="1" sqref="C370">
    <dxf>
      <numFmt numFmtId="30" formatCode="@"/>
    </dxf>
  </rfmt>
  <rcc rId="1831" sId="1" numFmtId="30">
    <nc r="C370" t="inlineStr">
      <is>
        <t>0501</t>
      </is>
    </nc>
  </rcc>
  <rcc rId="1832" sId="1" odxf="1" dxf="1">
    <nc r="D370" t="inlineStr">
      <is>
        <t>1510100000</t>
      </is>
    </nc>
    <odxf>
      <font>
        <sz val="12"/>
        <color theme="1"/>
      </font>
      <fill>
        <patternFill patternType="solid">
          <bgColor theme="0"/>
        </patternFill>
      </fill>
    </odxf>
    <ndxf>
      <font>
        <sz val="12"/>
        <color auto="1"/>
      </font>
      <fill>
        <patternFill patternType="none">
          <bgColor indexed="65"/>
        </patternFill>
      </fill>
    </ndxf>
  </rcc>
  <rcc rId="1833" sId="1">
    <nc r="A371" t="inlineStr">
      <is>
        <t xml:space="preserve">Бюджетные инвестиции </t>
      </is>
    </nc>
  </rcc>
  <rcc rId="1834" sId="1">
    <nc r="B371">
      <v>902</v>
    </nc>
  </rcc>
  <rfmt sheetId="1" sqref="C371:C372">
    <dxf>
      <numFmt numFmtId="30" formatCode="@"/>
    </dxf>
  </rfmt>
  <rcc rId="1835" sId="1" numFmtId="30">
    <nc r="C371" t="inlineStr">
      <is>
        <t>0501</t>
      </is>
    </nc>
  </rcc>
  <rcc rId="1836" sId="1" numFmtId="30">
    <nc r="C372" t="inlineStr">
      <is>
        <t>0501</t>
      </is>
    </nc>
  </rcc>
  <rcc rId="1837" sId="1" odxf="1" dxf="1">
    <nc r="D371" t="inlineStr">
      <is>
        <t>1510120980</t>
      </is>
    </nc>
    <odxf>
      <font>
        <sz val="12"/>
        <color theme="1"/>
      </font>
      <fill>
        <patternFill patternType="solid">
          <bgColor theme="0"/>
        </patternFill>
      </fill>
    </odxf>
    <ndxf>
      <font>
        <sz val="12"/>
        <color auto="1"/>
      </font>
      <fill>
        <patternFill patternType="none">
          <bgColor indexed="65"/>
        </patternFill>
      </fill>
    </ndxf>
  </rcc>
  <rcc rId="1838" sId="1">
    <nc r="A372" t="inlineStr">
      <is>
        <t>Иные выплаты населению</t>
      </is>
    </nc>
  </rcc>
  <rcc rId="1839" sId="1">
    <nc r="B372">
      <v>902</v>
    </nc>
  </rcc>
  <rcc rId="1840" sId="1" odxf="1" dxf="1">
    <nc r="D372" t="inlineStr">
      <is>
        <t>1510120980</t>
      </is>
    </nc>
    <odxf>
      <font>
        <sz val="12"/>
        <color theme="1"/>
      </font>
      <fill>
        <patternFill patternType="solid">
          <bgColor theme="0"/>
        </patternFill>
      </fill>
    </odxf>
    <ndxf>
      <font>
        <sz val="12"/>
        <color auto="1"/>
      </font>
      <fill>
        <patternFill patternType="none">
          <bgColor indexed="65"/>
        </patternFill>
      </fill>
    </ndxf>
  </rcc>
  <rcc rId="1841" sId="1">
    <nc r="E372">
      <v>360</v>
    </nc>
  </rcc>
  <rcc rId="1842" sId="1">
    <nc r="F371">
      <f>F372</f>
    </nc>
  </rcc>
  <rcc rId="1843" sId="1" numFmtId="4">
    <nc r="F372">
      <v>225</v>
    </nc>
  </rcc>
  <rcc rId="1844" sId="1">
    <nc r="F370">
      <f>F371</f>
    </nc>
  </rcc>
  <rcc rId="1845" sId="1">
    <oc r="F369">
      <f>F373+F378</f>
    </oc>
    <nc r="F369">
      <f>F373+F378+F370</f>
    </nc>
  </rcc>
  <rcc rId="1846" sId="1" numFmtId="4">
    <oc r="F380">
      <v>225</v>
    </oc>
    <nc r="F380">
      <f>225-225</f>
    </nc>
  </rcc>
  <rrc rId="1847" sId="1" ref="A1817:XFD1817" action="insertRow"/>
  <rcc rId="1848" sId="1">
    <nc r="A1817" t="inlineStr">
      <is>
        <t>0501                    1510120980</t>
      </is>
    </nc>
  </rcc>
  <rcc rId="1849" sId="1">
    <nc r="B1817">
      <f>F371</f>
    </nc>
  </rcc>
  <rcc rId="1850" sId="1" numFmtId="4">
    <nc r="D1817">
      <v>0</v>
    </nc>
  </rcc>
  <rcc rId="1851" sId="1">
    <nc r="F1817">
      <f>B1817-D1817</f>
    </nc>
  </rcc>
  <rrc rId="1852" sId="1" ref="A1817:XFD1817" action="insertRow"/>
  <rcc rId="1853" sId="1">
    <nc r="A1817" t="inlineStr">
      <is>
        <t>0501                    1510000000</t>
      </is>
    </nc>
  </rcc>
  <rcc rId="1854" sId="1">
    <nc r="B1817">
      <f>F369</f>
    </nc>
  </rcc>
  <rcc rId="1855" sId="1">
    <oc r="D379" t="inlineStr">
      <is>
        <t>1510120980</t>
      </is>
    </oc>
    <nc r="D379" t="inlineStr">
      <is>
        <t>1511120980</t>
      </is>
    </nc>
  </rcc>
  <rrc rId="1856" sId="1" ref="A1817:XFD1817" action="deleteRow">
    <rfmt sheetId="1" xfDxf="1" sqref="A1817:XFD1817" start="0" length="0">
      <dxf>
        <font>
          <color auto="1"/>
        </font>
      </dxf>
    </rfmt>
    <rcc rId="0" sId="1" dxf="1">
      <nc r="A1817" t="inlineStr">
        <is>
          <t>0501                    1510000000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7">
        <f>F369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17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17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17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17" start="0" length="0">
      <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467" start="0" length="0">
    <dxf>
      <fill>
        <patternFill patternType="none">
          <bgColor indexed="65"/>
        </patternFill>
      </fill>
      <alignment vertical="top" readingOrder="0"/>
    </dxf>
  </rfmt>
  <rcv guid="{CF7D559D-0166-4787-B1BA-841D705C6F88}" action="delete"/>
  <rdn rId="0" localSheetId="1" customView="1" name="Z_CF7D559D_0166_4787_B1BA_841D705C6F88_.wvu.PrintArea" hidden="1" oldHidden="1">
    <formula>январь!$A$6:$F$1646</formula>
    <oldFormula>январь!$A$6:$F$1646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январь!$A$10:$O$1647</formula>
    <oldFormula>январь!$A$10:$O$1647</oldFormula>
  </rdn>
  <rcv guid="{CF7D559D-0166-4787-B1BA-841D705C6F88}" action="add"/>
</revisions>
</file>

<file path=xl/revisions/revisionLog183.xml><?xml version="1.0" encoding="utf-8"?>
<revisions xmlns="http://schemas.openxmlformats.org/spreadsheetml/2006/main" xmlns:r="http://schemas.openxmlformats.org/officeDocument/2006/relationships">
  <rcc rId="1674" sId="1">
    <oc r="D2086">
      <f>'W:\Решения Городской Думы\Бюджет 2018-2020\Уточнение бюджета январь\[Приложение 4_по разделам 2018_.xlsx]январь'!$E$1234</f>
    </oc>
    <nc r="D2086">
      <f>'W:\Решения Городской Думы\Бюджет 2018-2020\Уточнение бюджета январь\[Приложение 4_по разделам 2018_.xlsx]январь'!$E$1234</f>
    </nc>
  </rcc>
  <rcc rId="1675" sId="1">
    <oc r="D2087">
      <f>'W:\Решения Городской Думы\Бюджет 2018-2020\Уточнение бюджета январь\[Приложение 4_по разделам 2018_.xlsx]январь'!$E$1236</f>
    </oc>
    <nc r="D2087">
      <f>'W:\Решения Городской Думы\Бюджет 2018-2020\Уточнение бюджета январь\[Приложение 4_по разделам 2018_.xlsx]январь'!$E$1236</f>
    </nc>
  </rcc>
  <rcv guid="{A1566C65-087F-49E5-974A-3CF262DD7D96}" action="delete"/>
  <rdn rId="0" localSheetId="1" customView="1" name="Z_A1566C65_087F_49E5_974A_3CF262DD7D96_.wvu.PrintArea" hidden="1" oldHidden="1">
    <formula>январь!$A$6:$F$1638</formula>
    <oldFormula>январь!$A$6:$F$1638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январь!$A$10:$O$1639</formula>
    <oldFormula>январь!$A$10:$O$1639</oldFormula>
  </rdn>
  <rcv guid="{A1566C65-087F-49E5-974A-3CF262DD7D96}" action="add"/>
</revisions>
</file>

<file path=xl/revisions/revisionLog18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6" sId="1" ref="A1605:XFD1605" action="insertRow"/>
  <rcc rId="377" sId="1">
    <nc r="A1605" t="inlineStr">
      <is>
        <t>0309                    2210320990</t>
      </is>
    </nc>
  </rcc>
  <rcc rId="378" sId="1">
    <nc r="B1605">
      <f>F195</f>
    </nc>
  </rcc>
  <rcc rId="379" sId="1">
    <nc r="F1605">
      <f>B1605-D1605</f>
    </nc>
  </rcc>
  <rcc rId="380" sId="1">
    <oc r="B1603">
      <f>SUM(B1604:B1613)</f>
    </oc>
    <nc r="B1603">
      <f>SUM(B1604:B1613)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6" sId="1">
    <oc r="A1342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oc>
    <nc r="A1342" t="inlineStr">
      <is>
        <t>Субсидия юридическим лицам (за исключением государственных (муниципальных) учреждений) на  финансовое обеспечение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v guid="{CF7D559D-0166-4787-B1BA-841D705C6F88}" action="delete"/>
  <rdn rId="0" localSheetId="1" customView="1" name="Z_CF7D559D_0166_4787_B1BA_841D705C6F88_.wvu.PrintArea" hidden="1" oldHidden="1">
    <formula>январь!$A$6:$F$1646</formula>
    <oldFormula>январь!$A$6:$F$1646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январь!$A$10:$O$1647</formula>
    <oldFormula>январь!$A$10:$O$1647</oldFormula>
  </rdn>
  <rcv guid="{CF7D559D-0166-4787-B1BA-841D705C6F88}" action="add"/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0" sId="1">
    <oc r="A1353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oc>
    <nc r="A1353" t="inlineStr">
      <is>
        <t>Субсидия юридическим лицам (за исключением государственных (муниципальных) учреждений) на  финансовое обеспечение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871" sId="1">
    <oc r="A1358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oc>
    <nc r="A1358" t="inlineStr">
      <is>
        <t>Субсидия юридическим лицам (за исключением государственных (муниципальных) учреждений) на  финансовое обеспечение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872" sId="1">
    <oc r="A1363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oc>
    <nc r="A1363" t="inlineStr">
      <is>
        <t>Субсидия юридическим лицам (за исключением государственных (муниципальных) учреждений) на  финансовое обеспечение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873" sId="1">
    <oc r="A1369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oc>
    <nc r="A1369" t="inlineStr">
      <is>
        <t>Субсидия юридическим лицам (за исключением государственных (муниципальных) учреждений) на  финансовое обеспечение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874" sId="1">
    <oc r="A1418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oc>
    <nc r="A1418" t="inlineStr">
      <is>
        <t>Субсидия юридическим лицам (за исключением государственных (муниципальных) учреждений) на  финансовое обеспечение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875" sId="1">
    <oc r="A1455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oc>
    <nc r="A1455" t="inlineStr">
      <is>
        <t>Субсидия юридическим лицам (за исключением государственных (муниципальных) учреждений) на  финансовое обеспечение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c rId="1876" sId="1">
    <oc r="A1470" t="inlineStr">
      <is>
        <t>Субсидия юридическим лицам (за исключением государственных (муниципальных) учреждений) на возмещение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oc>
    <nc r="A1470" t="inlineStr">
      <is>
        <t>Субсидия юридическим лицам (за исключением государственных (муниципальных) учреждений) на  финансовое обеспечение затрат, связанных с осуществлением деятельности в сфере жилищно-коммунального хозяйства, дорожного хозяйства, а также связанных с выполнением работ по демонтажу и уничтожению рекламных конструкций</t>
      </is>
    </nc>
  </rcc>
  <rcv guid="{CF7D559D-0166-4787-B1BA-841D705C6F88}" action="delete"/>
  <rdn rId="0" localSheetId="1" customView="1" name="Z_CF7D559D_0166_4787_B1BA_841D705C6F88_.wvu.PrintArea" hidden="1" oldHidden="1">
    <formula>январь!$A$6:$F$1646</formula>
    <oldFormula>январь!$A$6:$F$1646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январь!$A$10:$O$1647</formula>
    <oldFormula>январь!$A$10:$O$1647</oldFormula>
  </rdn>
  <rcv guid="{CF7D559D-0166-4787-B1BA-841D705C6F88}" action="add"/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F7D559D-0166-4787-B1BA-841D705C6F88}" action="delete"/>
  <rdn rId="0" localSheetId="1" customView="1" name="Z_CF7D559D_0166_4787_B1BA_841D705C6F88_.wvu.PrintArea" hidden="1" oldHidden="1">
    <formula>январь!$A$6:$F$1646</formula>
    <oldFormula>январь!$A$6:$F$1646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январь!$A$10:$O$1647</formula>
    <oldFormula>январь!$A$10:$O$1647</oldFormula>
  </rdn>
  <rcv guid="{CF7D559D-0166-4787-B1BA-841D705C6F88}" action="add"/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6" sId="1">
    <nc r="G180" t="inlineStr">
      <is>
        <t>796</t>
      </is>
    </nc>
  </rcc>
  <rcc rId="1887" sId="1">
    <oc r="F180">
      <f>3312.5+46174</f>
    </oc>
    <nc r="F180">
      <f>3312.5+46174+796</f>
    </nc>
  </rcc>
  <rcc rId="1888" sId="1" numFmtId="4">
    <nc r="G181">
      <v>34</v>
    </nc>
  </rcc>
  <rcc rId="1889" sId="1" numFmtId="4">
    <oc r="F181">
      <v>2230.1999999999998</v>
    </oc>
    <nc r="F181">
      <f>2230.2+34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0" sId="1" numFmtId="4">
    <nc r="G809">
      <v>-796</v>
    </nc>
  </rcc>
  <rfmt sheetId="1" sqref="G809" start="0" length="2147483647">
    <dxf>
      <font>
        <color theme="9" tint="-0.249977111117893"/>
      </font>
    </dxf>
  </rfmt>
  <rfmt sheetId="1" sqref="G809" start="0" length="2147483647">
    <dxf>
      <font>
        <color theme="9" tint="-0.499984740745262"/>
      </font>
    </dxf>
  </rfmt>
  <rcc rId="1891" sId="1" numFmtId="4">
    <oc r="F809">
      <v>6028.4</v>
    </oc>
    <nc r="F809">
      <f>6028.4-796</f>
    </nc>
  </rcc>
  <rcc rId="1892" sId="1">
    <nc r="G810" t="inlineStr">
      <is>
        <t>-34</t>
      </is>
    </nc>
  </rcc>
  <rfmt sheetId="1" sqref="G810" start="0" length="2147483647">
    <dxf>
      <font>
        <color theme="9" tint="-0.499984740745262"/>
      </font>
    </dxf>
  </rfmt>
  <rcc rId="1893" sId="1" numFmtId="4">
    <oc r="F810">
      <v>1767.6</v>
    </oc>
    <nc r="F810">
      <f>1767.6-34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>
    <oc r="A239" t="inlineStr">
      <is>
        <t>Обсепечение связью интеллектуальных комплексных систем видеонаблюдения, мониторинга и контроля</t>
      </is>
    </oc>
    <nc r="A239" t="inlineStr">
      <is>
        <t>Обеспечение связью интеллектуальных комплексных систем видеонаблюдения, мониторинга и контроля</t>
      </is>
    </nc>
  </rcc>
  <rcc rId="1905" sId="1">
    <oc r="A530" t="inlineStr">
      <is>
        <t>Субсидия муниципальным образованиям Сахалинской области на обеспечение населения Сахалинской оболасти качественным жильём</t>
      </is>
    </oc>
    <nc r="A530" t="inlineStr">
      <is>
        <t>Субсидия муниципальным образованиям Сахалинской области на обеспечение населения Сахалинской области качественным жильём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1177" sId="1">
    <oc r="G232" t="inlineStr">
      <is>
        <t>-10,0</t>
      </is>
    </oc>
    <nc r="G232" t="inlineStr">
      <is>
        <t>-10,4</t>
      </is>
    </nc>
  </rcc>
  <rcc rId="1178" sId="1">
    <oc r="G229" t="inlineStr">
      <is>
        <t>+12,0</t>
      </is>
    </oc>
    <nc r="G229" t="inlineStr">
      <is>
        <t>+10,4  +1,0</t>
      </is>
    </nc>
  </rcc>
  <rcc rId="1179" sId="1">
    <oc r="F229">
      <f>410+12</f>
    </oc>
    <nc r="F229">
      <f>410+10.4+1</f>
    </nc>
  </rcc>
  <rcc rId="1180" sId="1">
    <oc r="G96" t="inlineStr">
      <is>
        <t>-1,0</t>
      </is>
    </oc>
    <nc r="G96"/>
  </rcc>
  <rcc rId="1181" sId="1">
    <oc r="F96">
      <f>30-1</f>
    </oc>
    <nc r="F96">
      <f>30</f>
    </nc>
  </rcc>
  <rcv guid="{A1566C65-087F-49E5-974A-3CF262DD7D96}" action="delete"/>
  <rdn rId="0" localSheetId="1" customView="1" name="Z_A1566C65_087F_49E5_974A_3CF262DD7D96_.wvu.PrintArea" hidden="1" oldHidden="1">
    <formula>январь!$A$6:$F$1599</formula>
    <oldFormula>январь!$A$6:$F$1599</oldFormula>
  </rdn>
  <rdn rId="0" localSheetId="1" customView="1" name="Z_A1566C65_087F_49E5_974A_3CF262DD7D96_.wvu.PrintTitles" hidden="1" oldHidden="1">
    <formula>январь!$9:$10</formula>
    <oldFormula>январь!$9:$10</oldFormula>
  </rdn>
  <rdn rId="0" localSheetId="1" customView="1" name="Z_A1566C65_087F_49E5_974A_3CF262DD7D96_.wvu.FilterData" hidden="1" oldHidden="1">
    <formula>январь!$A$10:$O$1600</formula>
    <oldFormula>январь!$A$10:$O$1600</oldFormula>
  </rdn>
  <rcv guid="{A1566C65-087F-49E5-974A-3CF262DD7D96}" action="add"/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219F7EAD-D730-4D71-9324-77D1678FEC49}" action="delete"/>
  <rdn rId="0" localSheetId="1" customView="1" name="Z_219F7EAD_D730_4D71_9324_77D1678FEC49_.wvu.PrintArea" hidden="1" oldHidden="1">
    <formula>январь!$A$6:$F$1646</formula>
    <oldFormula>январь!$A$6:$F$1646</oldFormula>
  </rdn>
  <rdn rId="0" localSheetId="1" customView="1" name="Z_219F7EAD_D730_4D71_9324_77D1678FEC49_.wvu.PrintTitles" hidden="1" oldHidden="1">
    <formula>январь!$9:$10</formula>
    <oldFormula>январь!$9:$10</oldFormula>
  </rdn>
  <rdn rId="0" localSheetId="1" customView="1" name="Z_219F7EAD_D730_4D71_9324_77D1678FEC49_.wvu.FilterData" hidden="1" oldHidden="1">
    <formula>январь!$A$10:$O$1647</formula>
    <oldFormula>январь!$A$10:$O$1647</oldFormula>
  </rdn>
  <rcv guid="{219F7EAD-D730-4D71-9324-77D1678FEC49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fmt sheetId="1" sqref="G112">
    <dxf>
      <numFmt numFmtId="30" formatCode="@"/>
    </dxf>
  </rfmt>
  <rcc rId="381" sId="1" numFmtId="30">
    <nc r="G112" t="inlineStr">
      <is>
        <t>+ 700,0</t>
      </is>
    </nc>
  </rcc>
  <rcc rId="382" sId="1" numFmtId="4">
    <oc r="F112">
      <v>995</v>
    </oc>
    <nc r="F112">
      <f>995+700</f>
    </nc>
  </rcc>
  <rfmt sheetId="1" sqref="G591" start="0" length="0">
    <dxf>
      <numFmt numFmtId="30" formatCode="@"/>
      <alignment horizontal="left" readingOrder="0"/>
    </dxf>
  </rfmt>
  <rcc rId="383" sId="1">
    <nc r="G591" t="inlineStr">
      <is>
        <t>+ 1 700,0</t>
      </is>
    </nc>
  </rcc>
  <rcc rId="384" sId="1" numFmtId="4">
    <oc r="F591">
      <v>1825</v>
    </oc>
    <nc r="F591">
      <f>1825+1700</f>
    </nc>
  </rcc>
  <rcc rId="385" sId="1">
    <nc r="G1383" t="inlineStr">
      <is>
        <t>-25,0</t>
      </is>
    </nc>
  </rcc>
  <rcc rId="386" sId="1" numFmtId="4">
    <oc r="F1383">
      <v>25</v>
    </oc>
    <nc r="F1383">
      <f>25-25</f>
    </nc>
  </rcc>
  <rrc rId="387" sId="1" ref="A1396:XFD1400" action="insertRow"/>
  <rcc rId="388" sId="1" odxf="1" dxf="1">
    <nc r="A1396" t="inlineStr">
      <is>
        <t>Профессиональная подготовка, переподготовка и повышение квалификации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1396" start="0" length="0">
    <dxf>
      <fill>
        <patternFill patternType="solid">
          <bgColor theme="0"/>
        </patternFill>
      </fill>
    </dxf>
  </rfmt>
  <rcc rId="389" sId="1" odxf="1" dxf="1">
    <nc r="C1396" t="inlineStr">
      <is>
        <t>0705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fmt sheetId="1" sqref="E1396" start="0" length="0">
    <dxf>
      <fill>
        <patternFill patternType="solid">
          <bgColor theme="0"/>
        </patternFill>
      </fill>
    </dxf>
  </rfmt>
  <rfmt sheetId="1" sqref="G1396" start="0" length="0">
    <dxf>
      <font>
        <b val="0"/>
        <sz val="12"/>
        <color auto="1"/>
      </font>
      <numFmt numFmtId="3" formatCode="#,##0"/>
    </dxf>
  </rfmt>
  <rcc rId="390" sId="1" odxf="1" dxf="1">
    <nc r="A1397" t="inlineStr">
      <is>
        <t>Муниципальная программа "Реформирование и развитие системы муниципальной службы в администрации города Южно-Сахалинска (2015-2020 годы)"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91" sId="1" odxf="1" dxf="1">
    <nc r="B1397" t="inlineStr">
      <is>
        <t>902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92" sId="1" odxf="1" dxf="1">
    <nc r="C1397" t="inlineStr">
      <is>
        <t>0705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393" sId="1">
    <nc r="D1397" t="inlineStr">
      <is>
        <t>0300000000</t>
      </is>
    </nc>
  </rcc>
  <rcc rId="394" sId="1" odxf="1" dxf="1">
    <nc r="E1397" t="inlineStr">
      <is>
        <t/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95" sId="1">
    <nc r="F1397">
      <f>F1398</f>
    </nc>
  </rcc>
  <rfmt sheetId="1" sqref="G1397" start="0" length="0">
    <dxf>
      <font>
        <b val="0"/>
        <sz val="12"/>
        <color auto="1"/>
      </font>
      <numFmt numFmtId="3" formatCode="#,##0"/>
    </dxf>
  </rfmt>
  <rcc rId="396" sId="1" odxf="1" dxf="1">
    <nc r="A1398" t="inlineStr">
      <is>
        <t>Дополнительное образование муниципальных служащих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97" sId="1" odxf="1" dxf="1">
    <nc r="B1398" t="inlineStr">
      <is>
        <t>902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98" sId="1" odxf="1" dxf="1">
    <nc r="C1398" t="inlineStr">
      <is>
        <t>0705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399" sId="1">
    <nc r="D1398" t="inlineStr">
      <is>
        <t>0300200000</t>
      </is>
    </nc>
  </rcc>
  <rcc rId="400" sId="1" odxf="1" dxf="1">
    <nc r="E1398" t="inlineStr">
      <is>
        <t/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01" sId="1">
    <nc r="F1398">
      <f>F1399</f>
    </nc>
  </rcc>
  <rfmt sheetId="1" sqref="G1398" start="0" length="0">
    <dxf>
      <font>
        <b val="0"/>
        <sz val="12"/>
        <color auto="1"/>
      </font>
      <numFmt numFmtId="165" formatCode="#,##0.0"/>
    </dxf>
  </rfmt>
  <rcc rId="402" sId="1" odxf="1" dxf="1">
    <nc r="A1399" t="inlineStr">
      <is>
        <t>Дополнительное профессиональное образование муниципальных служащих</t>
      </is>
    </nc>
    <odxf>
      <fill>
        <patternFill patternType="none">
          <bgColor indexed="65"/>
        </patternFill>
      </fill>
      <alignment horizontal="left" vertical="top" readingOrder="0"/>
    </odxf>
    <ndxf>
      <fill>
        <patternFill patternType="solid">
          <bgColor theme="0"/>
        </patternFill>
      </fill>
      <alignment horizontal="general" vertical="center" readingOrder="0"/>
    </ndxf>
  </rcc>
  <rcc rId="403" sId="1" odxf="1" dxf="1">
    <nc r="B1399" t="inlineStr">
      <is>
        <t>902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04" sId="1" odxf="1" dxf="1">
    <nc r="C1399" t="inlineStr">
      <is>
        <t>0705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405" sId="1">
    <nc r="D1399" t="inlineStr">
      <is>
        <t>0300220400</t>
      </is>
    </nc>
  </rcc>
  <rfmt sheetId="1" sqref="E1399" start="0" length="0">
    <dxf>
      <fill>
        <patternFill patternType="solid">
          <bgColor theme="0"/>
        </patternFill>
      </fill>
    </dxf>
  </rfmt>
  <rcc rId="406" sId="1">
    <nc r="F1399">
      <f>F1400</f>
    </nc>
  </rcc>
  <rcc rId="407" sId="1" odxf="1" dxf="1">
    <nc r="A1400" t="inlineStr">
      <is>
        <t>Иные закупки товаров, работ и услуг для обеспечения государственных (муниципальных) нужд</t>
      </is>
    </nc>
    <odxf>
      <font>
        <sz val="12"/>
        <color theme="1"/>
      </font>
      <fill>
        <patternFill patternType="none">
          <bgColor indexed="65"/>
        </patternFill>
      </fill>
    </odxf>
    <ndxf>
      <font>
        <sz val="12"/>
        <color auto="1"/>
      </font>
      <fill>
        <patternFill patternType="solid">
          <bgColor theme="0"/>
        </patternFill>
      </fill>
    </ndxf>
  </rcc>
  <rcc rId="408" sId="1" odxf="1" dxf="1">
    <nc r="B1400" t="inlineStr">
      <is>
        <t>902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09" sId="1" odxf="1" dxf="1">
    <nc r="C1400" t="inlineStr">
      <is>
        <t>0705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  <rcc rId="410" sId="1">
    <nc r="D1400" t="inlineStr">
      <is>
        <t>0300220400</t>
      </is>
    </nc>
  </rcc>
  <rcc rId="411" sId="1" odxf="1" dxf="1">
    <nc r="E1400">
      <v>240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12" sId="1">
    <nc r="B1396">
      <v>915</v>
    </nc>
  </rcc>
  <rcc rId="413" sId="1">
    <nc r="G1400" t="inlineStr">
      <is>
        <t>+25,0</t>
      </is>
    </nc>
  </rcc>
  <rcc rId="414" sId="1">
    <nc r="F1400">
      <f>25</f>
    </nc>
  </rcc>
  <rcc rId="415" sId="1">
    <nc r="F1396">
      <f>F1397</f>
    </nc>
  </rcc>
  <rrc rId="416" sId="1" ref="A1396:XFD1396" action="insertRow"/>
  <rcc rId="417" sId="1" odxf="1" dxf="1">
    <nc r="A1396" t="inlineStr">
      <is>
        <t>ОБРАЗОВАНИЕ</t>
      </is>
    </nc>
    <odxf>
      <font>
        <b val="0"/>
        <sz val="12"/>
        <color theme="1"/>
      </font>
      <fill>
        <patternFill patternType="none">
          <bgColor indexed="65"/>
        </patternFill>
      </fill>
    </odxf>
    <ndxf>
      <font>
        <b/>
        <sz val="12"/>
        <color theme="1"/>
      </font>
      <fill>
        <patternFill patternType="solid">
          <bgColor theme="0"/>
        </patternFill>
      </fill>
    </ndxf>
  </rcc>
  <rfmt sheetId="1" sqref="B1396" start="0" length="0">
    <dxf>
      <font>
        <b/>
        <sz val="12"/>
        <color theme="1"/>
      </font>
      <fill>
        <patternFill patternType="solid">
          <bgColor theme="0"/>
        </patternFill>
      </fill>
    </dxf>
  </rfmt>
  <rcc rId="418" sId="1" odxf="1" dxf="1">
    <nc r="C1396" t="inlineStr">
      <is>
        <t>0700</t>
      </is>
    </nc>
    <odxf>
      <font>
        <b val="0"/>
        <sz val="12"/>
        <color theme="1"/>
      </font>
      <fill>
        <patternFill patternType="none">
          <bgColor indexed="65"/>
        </patternFill>
      </fill>
    </odxf>
    <ndxf>
      <font>
        <b/>
        <sz val="12"/>
        <color theme="1"/>
      </font>
      <fill>
        <patternFill patternType="solid">
          <bgColor theme="0"/>
        </patternFill>
      </fill>
    </ndxf>
  </rcc>
  <rcc rId="419" sId="1" odxf="1" dxf="1">
    <nc r="D1396" t="inlineStr">
      <is>
        <t/>
      </is>
    </nc>
    <odxf>
      <font>
        <b val="0"/>
        <sz val="12"/>
        <color theme="1"/>
      </font>
    </odxf>
    <ndxf>
      <font>
        <b/>
        <sz val="12"/>
        <color theme="1"/>
      </font>
    </ndxf>
  </rcc>
  <rcc rId="420" sId="1" odxf="1" dxf="1">
    <nc r="E1396" t="inlineStr">
      <is>
        <t/>
      </is>
    </nc>
    <odxf>
      <font>
        <b val="0"/>
        <sz val="12"/>
        <color theme="1"/>
      </font>
      <fill>
        <patternFill patternType="none">
          <bgColor indexed="65"/>
        </patternFill>
      </fill>
    </odxf>
    <ndxf>
      <font>
        <b/>
        <sz val="12"/>
        <color theme="1"/>
      </font>
      <fill>
        <patternFill patternType="solid">
          <bgColor theme="0"/>
        </patternFill>
      </fill>
    </ndxf>
  </rcc>
  <rfmt sheetId="1" sqref="F1396" start="0" length="0">
    <dxf>
      <font>
        <b/>
        <sz val="12"/>
        <color auto="1"/>
      </font>
    </dxf>
  </rfmt>
  <rfmt sheetId="1" sqref="G1396" start="0" length="0">
    <dxf>
      <font>
        <b val="0"/>
        <sz val="12"/>
        <color auto="1"/>
      </font>
      <numFmt numFmtId="165" formatCode="#,##0.0"/>
    </dxf>
  </rfmt>
  <rcc rId="421" sId="1">
    <nc r="B1396">
      <v>915</v>
    </nc>
  </rcc>
  <rcc rId="422" sId="1">
    <nc r="F1396">
      <f>F1397</f>
    </nc>
  </rcc>
  <rcc rId="423" sId="1">
    <oc r="F1225">
      <f>F1226+F1237+F1287+F1402</f>
    </oc>
    <nc r="F1225">
      <f>F1226+F1237+F1287+F1402+F1396</f>
    </nc>
  </rcc>
  <rcv guid="{A1566C65-087F-49E5-974A-3CF262DD7D96}" action="delete"/>
  <rdn rId="0" localSheetId="1" customView="1" name="Z_A1566C65_087F_49E5_974A_3CF262DD7D96_.wvu.PrintArea" hidden="1" oldHidden="1">
    <formula>' '!$A$6:$F$1533</formula>
    <oldFormula>' '!$A$6:$F$1533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'!$A$10:$O$1534</formula>
    <oldFormula>' '!$A$10:$O$1534</oldFormula>
  </rdn>
  <rcv guid="{A1566C65-087F-49E5-974A-3CF262DD7D96}" action="add"/>
</revisions>
</file>

<file path=xl/revisions/revisionLog192.xml><?xml version="1.0" encoding="utf-8"?>
<revisions xmlns="http://schemas.openxmlformats.org/spreadsheetml/2006/main" xmlns:r="http://schemas.openxmlformats.org/officeDocument/2006/relationships">
  <rcc rId="427" sId="1">
    <oc r="B1835">
      <f>F466</f>
    </oc>
    <nc r="B1835">
      <f>F466+F1400</f>
    </nc>
  </rcc>
  <rcv guid="{A1566C65-087F-49E5-974A-3CF262DD7D96}" action="delete"/>
  <rdn rId="0" localSheetId="1" customView="1" name="Z_A1566C65_087F_49E5_974A_3CF262DD7D96_.wvu.PrintArea" hidden="1" oldHidden="1">
    <formula>' '!$A$6:$F$1533</formula>
    <oldFormula>' '!$A$6:$F$1533</oldFormula>
  </rdn>
  <rdn rId="0" localSheetId="1" customView="1" name="Z_A1566C65_087F_49E5_974A_3CF262DD7D96_.wvu.PrintTitles" hidden="1" oldHidden="1">
    <formula>' '!$9:$10</formula>
    <oldFormula>' '!$9:$10</oldFormula>
  </rdn>
  <rdn rId="0" localSheetId="1" customView="1" name="Z_A1566C65_087F_49E5_974A_3CF262DD7D96_.wvu.FilterData" hidden="1" oldHidden="1">
    <formula>' '!$A$10:$O$1534</formula>
    <oldFormula>' '!$A$10:$O$1534</oldFormula>
  </rdn>
  <rcv guid="{A1566C65-087F-49E5-974A-3CF262DD7D96}" action="add"/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CE5A45D-2312-4713-A5DC-016ED1C7E17E}" action="delete"/>
  <rdn rId="0" localSheetId="1" customView="1" name="Z_1CE5A45D_2312_4713_A5DC_016ED1C7E17E_.wvu.PrintArea" hidden="1" oldHidden="1">
    <formula>январь!$A$6:$F$1646</formula>
    <oldFormula>январь!$A$6:$F$1646</oldFormula>
  </rdn>
  <rdn rId="0" localSheetId="1" customView="1" name="Z_1CE5A45D_2312_4713_A5DC_016ED1C7E17E_.wvu.PrintTitles" hidden="1" oldHidden="1">
    <formula>январь!$9:$10</formula>
    <oldFormula>январь!$9:$10</oldFormula>
  </rdn>
  <rdn rId="0" localSheetId="1" customView="1" name="Z_1CE5A45D_2312_4713_A5DC_016ED1C7E17E_.wvu.FilterData" hidden="1" oldHidden="1">
    <formula>январь!$A$10:$F$1647</formula>
    <oldFormula>январь!$A$10:$F$1647</oldFormula>
  </rdn>
  <rcv guid="{1CE5A45D-2312-4713-A5DC-016ED1C7E17E}" action="add"/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6DCE0BA-3DAA-4D16-9A6C-D74D85939BC4}" action="delete"/>
  <rdn rId="0" localSheetId="1" customView="1" name="Z_36DCE0BA_3DAA_4D16_9A6C_D74D85939BC4_.wvu.PrintArea" hidden="1" oldHidden="1">
    <formula>январь!$A$1:$F$1646</formula>
    <oldFormula>январь!$A$6:$F$1646</oldFormula>
  </rdn>
  <rdn rId="0" localSheetId="1" customView="1" name="Z_36DCE0BA_3DAA_4D16_9A6C_D74D85939BC4_.wvu.PrintTitles" hidden="1" oldHidden="1">
    <formula>январь!$9:$10</formula>
    <oldFormula>январь!$9:$10</oldFormula>
  </rdn>
  <rdn rId="0" localSheetId="1" customView="1" name="Z_36DCE0BA_3DAA_4D16_9A6C_D74D85939BC4_.wvu.FilterData" hidden="1" oldHidden="1">
    <formula>январь!$A$10:$O$1647</formula>
    <oldFormula>январь!$A$10:$O$1647</oldFormula>
  </rdn>
  <rcv guid="{36DCE0BA-3DAA-4D16-9A6C-D74D85939BC4}" action="add"/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1" sId="1">
    <oc r="D4" t="inlineStr">
      <is>
        <t>от __________ № _______</t>
      </is>
    </oc>
    <nc r="D4" t="inlineStr">
      <is>
        <t>от 31.01.2018 № 1031/54-18-5</t>
      </is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893FC3C-95F8-4D88-923A-D8B3F348D1CF}" action="delete"/>
  <rdn rId="0" localSheetId="1" customView="1" name="Z_7893FC3C_95F8_4D88_923A_D8B3F348D1CF_.wvu.PrintArea" hidden="1" oldHidden="1">
    <formula>январь!$A$6:$F$1646</formula>
    <oldFormula>январь!$A$6:$F$1646</oldFormula>
  </rdn>
  <rdn rId="0" localSheetId="1" customView="1" name="Z_7893FC3C_95F8_4D88_923A_D8B3F348D1CF_.wvu.PrintTitles" hidden="1" oldHidden="1">
    <formula>январь!$9:$10</formula>
    <oldFormula>январь!$9:$10</oldFormula>
  </rdn>
  <rdn rId="0" localSheetId="1" customView="1" name="Z_7893FC3C_95F8_4D88_923A_D8B3F348D1CF_.wvu.FilterData" hidden="1" oldHidden="1">
    <formula>январь!$A$10:$F$1647</formula>
    <oldFormula>январь!$A$10:$F$1647</oldFormula>
  </rdn>
  <rcv guid="{7893FC3C-95F8-4D88-923A-D8B3F348D1CF}" action="add"/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5" sId="1">
    <oc r="D4" t="inlineStr">
      <is>
        <t>от 31.01.2018 № 1031/54-18-5</t>
      </is>
    </oc>
    <nc r="D4" t="inlineStr">
      <is>
        <t xml:space="preserve">от                   №  </t>
      </is>
    </nc>
  </rcc>
  <rcv guid="{36DCE0BA-3DAA-4D16-9A6C-D74D85939BC4}" action="delete"/>
  <rdn rId="0" localSheetId="1" customView="1" name="Z_36DCE0BA_3DAA_4D16_9A6C_D74D85939BC4_.wvu.PrintArea" hidden="1" oldHidden="1">
    <formula>январь!$A$1:$F$1646</formula>
    <oldFormula>январь!$A$1:$F$1646</oldFormula>
  </rdn>
  <rdn rId="0" localSheetId="1" customView="1" name="Z_36DCE0BA_3DAA_4D16_9A6C_D74D85939BC4_.wvu.PrintTitles" hidden="1" oldHidden="1">
    <formula>январь!$9:$10</formula>
    <oldFormula>январь!$9:$10</oldFormula>
  </rdn>
  <rdn rId="0" localSheetId="1" customView="1" name="Z_36DCE0BA_3DAA_4D16_9A6C_D74D85939BC4_.wvu.FilterData" hidden="1" oldHidden="1">
    <formula>январь!$A$10:$O$1647</formula>
    <oldFormula>январь!$A$10:$O$1647</oldFormula>
  </rdn>
  <rcv guid="{36DCE0BA-3DAA-4D16-9A6C-D74D85939BC4}" action="add"/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9" sId="1" numFmtId="4">
    <oc r="G24">
      <v>2440.8000000000002</v>
    </oc>
    <nc r="G24"/>
  </rcc>
  <rcc rId="1940" sId="1" numFmtId="4">
    <oc r="G30">
      <v>3672.6</v>
    </oc>
    <nc r="G30"/>
  </rcc>
  <rcc rId="1941" sId="1">
    <oc r="G54" t="inlineStr">
      <is>
        <t>-200,0</t>
      </is>
    </oc>
    <nc r="G54"/>
  </rcc>
  <rcc rId="1942" sId="1">
    <oc r="G59" t="inlineStr">
      <is>
        <t>+77,7</t>
      </is>
    </oc>
    <nc r="G59"/>
  </rcc>
  <rcc rId="1943" sId="1" numFmtId="4">
    <oc r="G64">
      <v>13478.5</v>
    </oc>
    <nc r="G64"/>
  </rcc>
  <rcc rId="1944" sId="1" numFmtId="4">
    <oc r="H64">
      <v>13026.8</v>
    </oc>
    <nc r="H64"/>
  </rcc>
  <rcc rId="1945" sId="1">
    <oc r="I64">
      <v>-9569.6</v>
    </oc>
    <nc r="I64"/>
  </rcc>
  <rcc rId="1946" sId="1" numFmtId="4">
    <oc r="G103">
      <v>-77.7</v>
    </oc>
    <nc r="G103"/>
  </rcc>
  <rcc rId="1947" sId="1">
    <oc r="G105" t="inlineStr">
      <is>
        <t>-32,0</t>
      </is>
    </oc>
    <nc r="G105"/>
  </rcc>
  <rcc rId="1948" sId="1">
    <oc r="G112" t="inlineStr">
      <is>
        <t>+ 700,0</t>
      </is>
    </oc>
    <nc r="G112"/>
  </rcc>
  <rcc rId="1949" sId="1" numFmtId="4">
    <oc r="G123">
      <v>1211</v>
    </oc>
    <nc r="G123"/>
  </rcc>
  <rcc rId="1950" sId="1">
    <oc r="G134" t="inlineStr">
      <is>
        <t>+800,0</t>
      </is>
    </oc>
    <nc r="G134"/>
  </rcc>
  <rcc rId="1951" sId="1">
    <oc r="G146" t="inlineStr">
      <is>
        <t>6098,5</t>
      </is>
    </oc>
    <nc r="G146"/>
  </rcc>
  <rcc rId="1952" sId="1">
    <oc r="G153" t="inlineStr">
      <is>
        <t>777,2</t>
      </is>
    </oc>
    <nc r="G153"/>
  </rcc>
  <rcc rId="1953" sId="1">
    <oc r="G157" t="inlineStr">
      <is>
        <t>+2111,0 (4%)</t>
      </is>
    </oc>
    <nc r="G157"/>
  </rcc>
  <rcc rId="1954" sId="1">
    <oc r="H157" t="inlineStr">
      <is>
        <t>Б</t>
      </is>
    </oc>
    <nc r="H157"/>
  </rcc>
  <rcc rId="1955" sId="1">
    <oc r="G162" t="inlineStr">
      <is>
        <t>-18652,5</t>
      </is>
    </oc>
    <nc r="G162"/>
  </rcc>
  <rcc rId="1956" sId="1">
    <oc r="H162" t="inlineStr">
      <is>
        <t>Б</t>
      </is>
    </oc>
    <nc r="H162"/>
  </rcc>
  <rcc rId="1957" sId="1">
    <oc r="G163" t="inlineStr">
      <is>
        <t>-1350,6</t>
      </is>
    </oc>
    <nc r="G163"/>
  </rcc>
  <rcc rId="1958" sId="1">
    <oc r="H163" t="inlineStr">
      <is>
        <t>Б</t>
      </is>
    </oc>
    <nc r="H163"/>
  </rcc>
  <rcc rId="1959" sId="1">
    <oc r="G164" t="inlineStr">
      <is>
        <t>-12</t>
      </is>
    </oc>
    <nc r="G164"/>
  </rcc>
  <rcc rId="1960" sId="1">
    <oc r="H164" t="inlineStr">
      <is>
        <t>Б</t>
      </is>
    </oc>
    <nc r="H164"/>
  </rcc>
  <rcc rId="1961" sId="1">
    <oc r="G166" t="inlineStr">
      <is>
        <t>-84</t>
      </is>
    </oc>
    <nc r="G166"/>
  </rcc>
  <rcc rId="1962" sId="1">
    <oc r="H166" t="inlineStr">
      <is>
        <t>Б</t>
      </is>
    </oc>
    <nc r="H166"/>
  </rcc>
  <rcc rId="1963" sId="1" numFmtId="4">
    <oc r="G169">
      <v>1144</v>
    </oc>
    <nc r="G169"/>
  </rcc>
  <rcc rId="1964" sId="1">
    <oc r="G176" t="inlineStr">
      <is>
        <t xml:space="preserve"> +527,2 (4%) +9600</t>
      </is>
    </oc>
    <nc r="G176"/>
  </rcc>
  <rcc rId="1965" sId="1">
    <oc r="H176" t="inlineStr">
      <is>
        <t>Б</t>
      </is>
    </oc>
    <nc r="H176"/>
  </rcc>
  <rcc rId="1966" sId="1">
    <oc r="G180" t="inlineStr">
      <is>
        <t>796</t>
      </is>
    </oc>
    <nc r="G180"/>
  </rcc>
  <rcc rId="1967" sId="1" numFmtId="4">
    <oc r="G181">
      <v>34</v>
    </oc>
    <nc r="G181"/>
  </rcc>
  <rcc rId="1968" sId="1">
    <oc r="G184" t="inlineStr">
      <is>
        <t>+30000</t>
      </is>
    </oc>
    <nc r="G184"/>
  </rcc>
  <rcc rId="1969" sId="1">
    <oc r="G196" t="inlineStr">
      <is>
        <t>+6425</t>
      </is>
    </oc>
    <nc r="G196"/>
  </rcc>
  <rcc rId="1970" sId="1">
    <oc r="G217" t="inlineStr">
      <is>
        <t>+2619,5</t>
      </is>
    </oc>
    <nc r="G217"/>
  </rcc>
  <rcc rId="1971" sId="1">
    <oc r="G229" t="inlineStr">
      <is>
        <t>+10,4  +1,0</t>
      </is>
    </oc>
    <nc r="G229"/>
  </rcc>
  <rcc rId="1972" sId="1">
    <oc r="G232" t="inlineStr">
      <is>
        <t>-10,4</t>
      </is>
    </oc>
    <nc r="G232"/>
  </rcc>
  <rcc rId="1973" sId="1">
    <oc r="G233" t="inlineStr">
      <is>
        <t>-1,0</t>
      </is>
    </oc>
    <nc r="G233"/>
  </rcc>
  <rcc rId="1974" sId="1" numFmtId="4">
    <oc r="G267">
      <v>5000</v>
    </oc>
    <nc r="G267"/>
  </rcc>
  <rcc rId="1975" sId="1">
    <oc r="H277" t="inlineStr">
      <is>
        <t>Б</t>
      </is>
    </oc>
    <nc r="H277"/>
  </rcc>
  <rcc rId="1976" sId="1">
    <oc r="G278" t="inlineStr">
      <is>
        <t>+18652,5  +685(4%)</t>
      </is>
    </oc>
    <nc r="G278"/>
  </rcc>
  <rcc rId="1977" sId="1">
    <oc r="H278" t="inlineStr">
      <is>
        <t>Б</t>
      </is>
    </oc>
    <nc r="H278"/>
  </rcc>
  <rcc rId="1978" sId="1">
    <oc r="G279" t="inlineStr">
      <is>
        <t>+1350,6</t>
      </is>
    </oc>
    <nc r="G279"/>
  </rcc>
  <rcc rId="1979" sId="1">
    <oc r="H279" t="inlineStr">
      <is>
        <t>Б</t>
      </is>
    </oc>
    <nc r="H279"/>
  </rcc>
  <rcc rId="1980" sId="1">
    <oc r="G280" t="inlineStr">
      <is>
        <t>+12</t>
      </is>
    </oc>
    <nc r="G280"/>
  </rcc>
  <rcc rId="1981" sId="1">
    <oc r="H280" t="inlineStr">
      <is>
        <t>Б</t>
      </is>
    </oc>
    <nc r="H280"/>
  </rcc>
  <rcc rId="1982" sId="1">
    <oc r="H281" t="inlineStr">
      <is>
        <t>Б</t>
      </is>
    </oc>
    <nc r="H281"/>
  </rcc>
  <rcc rId="1983" sId="1">
    <oc r="G282" t="inlineStr">
      <is>
        <t>+84,0</t>
      </is>
    </oc>
    <nc r="G282"/>
  </rcc>
  <rcc rId="1984" sId="1">
    <oc r="H282" t="inlineStr">
      <is>
        <t>Б</t>
      </is>
    </oc>
    <nc r="H282"/>
  </rcc>
  <rcc rId="1985" sId="1">
    <oc r="G284" t="inlineStr">
      <is>
        <t>-27484,3</t>
      </is>
    </oc>
    <nc r="G284"/>
  </rcc>
  <rcc rId="1986" sId="1">
    <oc r="G286" t="inlineStr">
      <is>
        <t>-277,6</t>
      </is>
    </oc>
    <nc r="G286"/>
  </rcc>
  <rcc rId="1987" sId="1">
    <oc r="G288" t="inlineStr">
      <is>
        <t>-100000,0</t>
      </is>
    </oc>
    <nc r="G288"/>
  </rcc>
  <rcc rId="1988" sId="1">
    <oc r="G294" t="inlineStr">
      <is>
        <t>-2302,2</t>
      </is>
    </oc>
    <nc r="G294"/>
  </rcc>
  <rcc rId="1989" sId="1" numFmtId="4">
    <oc r="G296">
      <v>16117</v>
    </oc>
    <nc r="G296"/>
  </rcc>
  <rcc rId="1990" sId="1" numFmtId="4">
    <oc r="G298">
      <v>227918.2</v>
    </oc>
    <nc r="G298"/>
  </rcc>
  <rcc rId="1991" sId="1" numFmtId="4">
    <oc r="G300">
      <v>2302.1999999999998</v>
    </oc>
    <nc r="G300"/>
  </rcc>
  <rcc rId="1992" sId="1">
    <oc r="G308" t="inlineStr">
      <is>
        <t>96234,3; 110000</t>
      </is>
    </oc>
    <nc r="G308"/>
  </rcc>
  <rcc rId="1993" sId="1" numFmtId="4">
    <oc r="G310">
      <v>-227918.2</v>
    </oc>
    <nc r="G310"/>
  </rcc>
  <rcc rId="1994" sId="1">
    <oc r="G312" t="inlineStr">
      <is>
        <t>-333967,8</t>
      </is>
    </oc>
    <nc r="G312"/>
  </rcc>
  <rcc rId="1995" sId="1">
    <oc r="G321" t="inlineStr">
      <is>
        <t>234733,5;   200000</t>
      </is>
    </oc>
    <nc r="G321"/>
  </rcc>
  <rcc rId="1996" sId="1">
    <oc r="G323" t="inlineStr">
      <is>
        <t>3000</t>
      </is>
    </oc>
    <nc r="G323"/>
  </rcc>
  <rcc rId="1997" sId="1">
    <oc r="G365" t="inlineStr">
      <is>
        <t>237 600</t>
      </is>
    </oc>
    <nc r="G365"/>
  </rcc>
  <rcc rId="1998" sId="1">
    <oc r="G367" t="inlineStr">
      <is>
        <t>2 400</t>
      </is>
    </oc>
    <nc r="G367"/>
  </rcc>
  <rcc rId="1999" sId="1">
    <oc r="G393" t="inlineStr">
      <is>
        <t>20</t>
      </is>
    </oc>
    <nc r="G393"/>
  </rcc>
  <rcc rId="2000" sId="1">
    <oc r="G403" t="inlineStr">
      <is>
        <t>263246,3    -11907,5  -384,7</t>
      </is>
    </oc>
    <nc r="G403"/>
  </rcc>
  <rcc rId="2001" sId="1">
    <oc r="G406" t="inlineStr">
      <is>
        <t>37934,1</t>
      </is>
    </oc>
    <nc r="G406"/>
  </rcc>
  <rcc rId="2002" sId="1" numFmtId="4">
    <oc r="G414">
      <v>14000</v>
    </oc>
    <nc r="G414"/>
  </rcc>
  <rcc rId="2003" sId="1" numFmtId="4">
    <oc r="G416">
      <v>6586.2</v>
    </oc>
    <nc r="G416"/>
  </rcc>
  <rcc rId="2004" sId="1">
    <oc r="G423" t="inlineStr">
      <is>
        <t>100  11907,5   1500</t>
      </is>
    </oc>
    <nc r="G423"/>
  </rcc>
  <rcc rId="2005" sId="1">
    <oc r="G426" t="inlineStr">
      <is>
        <t>1940,6   -1500</t>
      </is>
    </oc>
    <nc r="G426"/>
  </rcc>
  <rcc rId="2006" sId="1">
    <oc r="G431" t="inlineStr">
      <is>
        <t>-23816,1</t>
      </is>
    </oc>
    <nc r="G431"/>
  </rcc>
  <rcc rId="2007" sId="1">
    <oc r="G434" t="inlineStr">
      <is>
        <t>-2000</t>
      </is>
    </oc>
    <nc r="G434"/>
  </rcc>
  <rcc rId="2008" sId="1">
    <oc r="G437" t="inlineStr">
      <is>
        <t>300</t>
      </is>
    </oc>
    <nc r="G437"/>
  </rcc>
  <rcc rId="2009" sId="1">
    <oc r="G441" t="inlineStr">
      <is>
        <t>25816,1</t>
      </is>
    </oc>
    <nc r="G441"/>
  </rcc>
  <rcc rId="2010" sId="1">
    <oc r="G452" t="inlineStr">
      <is>
        <t>-270,6;-30</t>
      </is>
    </oc>
    <nc r="G452"/>
  </rcc>
  <rcc rId="2011" sId="1">
    <oc r="G467" t="inlineStr">
      <is>
        <t>1159,2</t>
      </is>
    </oc>
    <nc r="G467"/>
  </rcc>
  <rcc rId="2012" sId="1" numFmtId="4">
    <oc r="G478">
      <v>5000</v>
    </oc>
    <nc r="G478"/>
  </rcc>
  <rcc rId="2013" sId="1">
    <oc r="G482" t="inlineStr">
      <is>
        <t>237</t>
      </is>
    </oc>
    <nc r="G482"/>
  </rcc>
  <rcc rId="2014" sId="1">
    <oc r="G485" t="inlineStr">
      <is>
        <t>48830,1</t>
      </is>
    </oc>
    <nc r="G485"/>
  </rcc>
  <rcc rId="2015" sId="1">
    <oc r="G487" t="inlineStr">
      <is>
        <t>6048,3</t>
      </is>
    </oc>
    <nc r="G487"/>
  </rcc>
  <rcc rId="2016" sId="1">
    <oc r="G490" t="inlineStr">
      <is>
        <t>38729</t>
      </is>
    </oc>
    <nc r="G490"/>
  </rcc>
  <rcc rId="2017" sId="1">
    <oc r="G496" t="inlineStr">
      <is>
        <t>2147,3</t>
      </is>
    </oc>
    <nc r="G496"/>
  </rcc>
  <rcc rId="2018" sId="1">
    <oc r="G501" t="inlineStr">
      <is>
        <t>+200</t>
      </is>
    </oc>
    <nc r="G501"/>
  </rcc>
  <rcc rId="2019" sId="1">
    <oc r="G506" t="inlineStr">
      <is>
        <t>+32,0</t>
      </is>
    </oc>
    <nc r="G506"/>
  </rcc>
  <rcc rId="2020" sId="1">
    <oc r="H514" t="inlineStr">
      <is>
        <t>Б</t>
      </is>
    </oc>
    <nc r="H514"/>
  </rcc>
  <rcc rId="2021" sId="1">
    <oc r="H515" t="inlineStr">
      <is>
        <t>Б</t>
      </is>
    </oc>
    <nc r="H515"/>
  </rcc>
  <rcc rId="2022" sId="1">
    <oc r="H516" t="inlineStr">
      <is>
        <t>Б</t>
      </is>
    </oc>
    <nc r="H516"/>
  </rcc>
  <rcc rId="2023" sId="1">
    <oc r="H517" t="inlineStr">
      <is>
        <t>Б</t>
      </is>
    </oc>
    <nc r="H517"/>
  </rcc>
  <rcc rId="2024" sId="1">
    <oc r="G518" t="inlineStr">
      <is>
        <t>+279,6</t>
      </is>
    </oc>
    <nc r="G518"/>
  </rcc>
  <rcc rId="2025" sId="1">
    <oc r="H518" t="inlineStr">
      <is>
        <t>Б</t>
      </is>
    </oc>
    <nc r="H518"/>
  </rcc>
  <rcc rId="2026" sId="1">
    <oc r="G531" t="inlineStr">
      <is>
        <t>+57 999,0</t>
      </is>
    </oc>
    <nc r="G531"/>
  </rcc>
  <rcc rId="2027" sId="1">
    <oc r="G554" t="inlineStr">
      <is>
        <t>-237,0</t>
      </is>
    </oc>
    <nc r="G554"/>
  </rcc>
  <rcc rId="2028" sId="1">
    <oc r="G581" t="inlineStr">
      <is>
        <t xml:space="preserve"> - 1 311,0</t>
      </is>
    </oc>
    <nc r="G581"/>
  </rcc>
  <rcc rId="2029" sId="1">
    <oc r="G596" t="inlineStr">
      <is>
        <t>+ 1 311,0</t>
      </is>
    </oc>
    <nc r="G596"/>
  </rcc>
  <rcc rId="2030" sId="1">
    <oc r="G599" t="inlineStr">
      <is>
        <t>+237,0</t>
      </is>
    </oc>
    <nc r="G599"/>
  </rcc>
  <rcc rId="2031" sId="1">
    <oc r="G604" t="inlineStr">
      <is>
        <t>-279,6</t>
      </is>
    </oc>
    <nc r="G604"/>
  </rcc>
  <rcc rId="2032" sId="1">
    <oc r="H604" t="inlineStr">
      <is>
        <t>Б</t>
      </is>
    </oc>
    <nc r="H604"/>
  </rcc>
  <rcc rId="2033" sId="1">
    <oc r="G632" t="inlineStr">
      <is>
        <t>+ 1 700,0</t>
      </is>
    </oc>
    <nc r="G632"/>
  </rcc>
  <rcc rId="2034" sId="1">
    <oc r="G634">
      <v>-10000</v>
    </oc>
    <nc r="G634"/>
  </rcc>
  <rcc rId="2035" sId="1">
    <oc r="G635">
      <v>10000</v>
    </oc>
    <nc r="G635"/>
  </rcc>
  <rcc rId="2036" sId="1">
    <oc r="H635" t="inlineStr">
      <is>
        <t>Б</t>
      </is>
    </oc>
    <nc r="H635"/>
  </rcc>
  <rcc rId="2037" sId="1">
    <oc r="G637">
      <v>-100</v>
    </oc>
    <nc r="G637"/>
  </rcc>
  <rcc rId="2038" sId="1">
    <oc r="G638">
      <v>100</v>
    </oc>
    <nc r="G638"/>
  </rcc>
  <rcc rId="2039" sId="1">
    <oc r="H638" t="inlineStr">
      <is>
        <t>Б</t>
      </is>
    </oc>
    <nc r="H638"/>
  </rcc>
  <rcc rId="2040" sId="1" numFmtId="4">
    <oc r="G657">
      <v>384.7</v>
    </oc>
    <nc r="G657"/>
  </rcc>
  <rcc rId="2041" sId="1" numFmtId="4">
    <oc r="G670">
      <v>285</v>
    </oc>
    <nc r="G670"/>
  </rcc>
  <rcc rId="2042" sId="1" numFmtId="4">
    <oc r="G679">
      <v>249.6</v>
    </oc>
    <nc r="G679"/>
  </rcc>
  <rcc rId="2043" sId="1" numFmtId="4">
    <oc r="H679">
      <v>405.4</v>
    </oc>
    <nc r="H679"/>
  </rcc>
  <rcc rId="2044" sId="1" numFmtId="4">
    <oc r="G692">
      <v>2000</v>
    </oc>
    <nc r="G692"/>
  </rcc>
  <rcc rId="2045" sId="1">
    <oc r="H692" t="inlineStr">
      <is>
        <t>Латышева</t>
      </is>
    </oc>
    <nc r="H692"/>
  </rcc>
  <rcc rId="2046" sId="1" numFmtId="4">
    <oc r="G698">
      <v>-25</v>
    </oc>
    <nc r="G698"/>
  </rcc>
  <rcc rId="2047" sId="1" numFmtId="4">
    <oc r="G709">
      <v>6000</v>
    </oc>
    <nc r="G709"/>
  </rcc>
  <rcc rId="2048" sId="1">
    <oc r="H709" t="inlineStr">
      <is>
        <t>Латышева</t>
      </is>
    </oc>
    <nc r="H709"/>
  </rcc>
  <rcc rId="2049" sId="1" numFmtId="4">
    <oc r="G723">
      <v>2000</v>
    </oc>
    <nc r="G723"/>
  </rcc>
  <rcc rId="2050" sId="1">
    <oc r="H723" t="inlineStr">
      <is>
        <t>Латышева</t>
      </is>
    </oc>
    <nc r="H723"/>
  </rcc>
  <rcc rId="2051" sId="1" numFmtId="4">
    <oc r="G728">
      <v>1510.1</v>
    </oc>
    <nc r="G728"/>
  </rcc>
  <rcc rId="2052" sId="1" numFmtId="4">
    <oc r="H728">
      <v>6636.9</v>
    </oc>
    <nc r="H728"/>
  </rcc>
  <rcc rId="2053" sId="1" numFmtId="4">
    <oc r="G734">
      <v>-300</v>
    </oc>
    <nc r="G734"/>
  </rcc>
  <rcc rId="2054" sId="1">
    <oc r="H734" t="inlineStr">
      <is>
        <t>Латышева</t>
      </is>
    </oc>
    <nc r="H734"/>
  </rcc>
  <rcc rId="2055" sId="1">
    <oc r="G745" t="inlineStr">
      <is>
        <t>+25,0</t>
      </is>
    </oc>
    <nc r="G745"/>
  </rcc>
  <rcc rId="2056" sId="1">
    <oc r="G759" t="inlineStr">
      <is>
        <t>-25,0</t>
      </is>
    </oc>
    <nc r="G759"/>
  </rcc>
  <rcc rId="2057" sId="1" numFmtId="4">
    <oc r="G764">
      <v>3125.7</v>
    </oc>
    <nc r="G764"/>
  </rcc>
  <rcc rId="2058" sId="1">
    <oc r="G768" t="inlineStr">
      <is>
        <t>-1460,6</t>
      </is>
    </oc>
    <nc r="G768"/>
  </rcc>
  <rcc rId="2059" sId="1">
    <oc r="H768" t="inlineStr">
      <is>
        <t>-405,4</t>
      </is>
    </oc>
    <nc r="H768"/>
  </rcc>
  <rcc rId="2060" sId="1">
    <oc r="G783" t="inlineStr">
      <is>
        <t>+25,0</t>
      </is>
    </oc>
    <nc r="G783"/>
  </rcc>
  <rcc rId="2061" sId="1">
    <oc r="G795" t="inlineStr">
      <is>
        <t>-50,0</t>
      </is>
    </oc>
    <nc r="G795"/>
  </rcc>
  <rcc rId="2062" sId="1">
    <oc r="G800" t="inlineStr">
      <is>
        <t>+1205</t>
      </is>
    </oc>
    <nc r="G800"/>
  </rcc>
  <rcc rId="2063" sId="1">
    <oc r="G804" t="inlineStr">
      <is>
        <t>+723,9</t>
      </is>
    </oc>
    <nc r="G804"/>
  </rcc>
  <rcc rId="2064" sId="1" numFmtId="4">
    <oc r="G809">
      <v>-796</v>
    </oc>
    <nc r="G809"/>
  </rcc>
  <rcc rId="2065" sId="1">
    <oc r="G810" t="inlineStr">
      <is>
        <t>-34</t>
      </is>
    </oc>
    <nc r="G810"/>
  </rcc>
  <rcc rId="2066" sId="1">
    <oc r="G826" t="inlineStr">
      <is>
        <t>+1000</t>
      </is>
    </oc>
    <nc r="G826"/>
  </rcc>
  <rcc rId="2067" sId="1">
    <oc r="H826" t="inlineStr">
      <is>
        <t>Латышева</t>
      </is>
    </oc>
    <nc r="H826"/>
  </rcc>
  <rcc rId="2068" sId="1">
    <oc r="G832" t="inlineStr">
      <is>
        <t>+50,0</t>
      </is>
    </oc>
    <nc r="G832"/>
  </rcc>
  <rcc rId="2069" sId="1">
    <oc r="G847" t="inlineStr">
      <is>
        <t>1000</t>
      </is>
    </oc>
    <nc r="G847"/>
  </rcc>
  <rcc rId="2070" sId="1">
    <oc r="G848" t="inlineStr">
      <is>
        <t>1000</t>
      </is>
    </oc>
    <nc r="G848"/>
  </rcc>
  <rcc rId="2071" sId="1">
    <oc r="G875" t="inlineStr">
      <is>
        <r>
          <t>150</t>
        </r>
        <r>
          <rPr>
            <b/>
            <u/>
            <sz val="12"/>
            <color rgb="FFFFFF00"/>
            <rFont val="Times New Roman"/>
            <family val="1"/>
            <charset val="204"/>
          </rPr>
          <t>;  3516; 2469,3</t>
        </r>
      </is>
    </oc>
    <nc r="G875"/>
  </rcc>
  <rcc rId="2072" sId="1">
    <oc r="G876" t="inlineStr">
      <is>
        <t>9850; 4395; 3965,2</t>
      </is>
    </oc>
    <nc r="G876"/>
  </rcc>
  <rcc rId="2073" sId="1">
    <oc r="G905" t="inlineStr">
      <is>
        <t xml:space="preserve">9676,2; </t>
      </is>
    </oc>
    <nc r="G905"/>
  </rcc>
  <rcc rId="2074" sId="1">
    <oc r="G906" t="inlineStr">
      <is>
        <t xml:space="preserve">20323,8; </t>
      </is>
    </oc>
    <nc r="G906"/>
  </rcc>
  <rcc rId="2075" sId="1">
    <oc r="G914" t="inlineStr">
      <is>
        <t>1758; 509,3</t>
      </is>
    </oc>
    <nc r="G914"/>
  </rcc>
  <rcc rId="2076" sId="1">
    <oc r="G915" t="inlineStr">
      <is>
        <t>10000;  4891,5; 452,5</t>
      </is>
    </oc>
    <nc r="G915"/>
  </rcc>
  <rcc rId="2077" sId="1" numFmtId="4">
    <oc r="G930">
      <v>146.5</v>
    </oc>
    <nc r="G930"/>
  </rcc>
  <rcc rId="2078" sId="1">
    <oc r="G961" t="inlineStr">
      <is>
        <t>551,5;  200; 146,5</t>
      </is>
    </oc>
    <nc r="G961"/>
  </rcc>
  <rcc rId="2079" sId="1">
    <oc r="G962" t="inlineStr">
      <is>
        <t>1520,9; 146,5</t>
      </is>
    </oc>
    <nc r="G962"/>
  </rcc>
  <rcc rId="2080" sId="1">
    <oc r="G970" t="inlineStr">
      <is>
        <t>+15,0</t>
      </is>
    </oc>
    <nc r="G970"/>
  </rcc>
  <rcc rId="2081" sId="1" numFmtId="4">
    <oc r="G1045">
      <v>1974.9</v>
    </oc>
    <nc r="G1045"/>
  </rcc>
  <rcc rId="2082" sId="1" numFmtId="4">
    <oc r="G1050">
      <v>500.8</v>
    </oc>
    <nc r="G1050"/>
  </rcc>
  <rcc rId="2083" sId="1" numFmtId="4">
    <oc r="G1051">
      <v>-64.599999999999994</v>
    </oc>
    <nc r="G1051"/>
  </rcc>
  <rcc rId="2084" sId="1" numFmtId="4">
    <oc r="G1052">
      <v>64.599999999999994</v>
    </oc>
    <nc r="G1052"/>
  </rcc>
  <rcc rId="2085" sId="1">
    <oc r="G1058" t="inlineStr">
      <is>
        <t>-15,0</t>
      </is>
    </oc>
    <nc r="G1058"/>
  </rcc>
  <rcc rId="2086" sId="1" numFmtId="4">
    <oc r="G1099">
      <v>961.1</v>
    </oc>
    <nc r="G1099"/>
  </rcc>
  <rcc rId="2087" sId="1" numFmtId="4">
    <oc r="G1166">
      <v>100</v>
    </oc>
    <nc r="G1166"/>
  </rcc>
  <rcc rId="2088" sId="1" numFmtId="4">
    <oc r="G1167">
      <v>400</v>
    </oc>
    <nc r="G1167"/>
  </rcc>
  <rcc rId="2089" sId="1" numFmtId="4">
    <oc r="G1171">
      <v>100</v>
    </oc>
    <nc r="G1171"/>
  </rcc>
  <rcc rId="2090" sId="1" numFmtId="4">
    <oc r="G1172">
      <v>400</v>
    </oc>
    <nc r="G1172"/>
  </rcc>
  <rcc rId="2091" sId="1" numFmtId="4">
    <oc r="G1178">
      <v>-3000</v>
    </oc>
    <nc r="G1178"/>
  </rcc>
  <rcc rId="2092" sId="1">
    <oc r="H1178" t="inlineStr">
      <is>
        <t>Б</t>
      </is>
    </oc>
    <nc r="H1178"/>
  </rcc>
  <rcc rId="2093" sId="1" numFmtId="4">
    <oc r="G1182">
      <v>3000</v>
    </oc>
    <nc r="G1182"/>
  </rcc>
  <rcc rId="2094" sId="1">
    <oc r="H1182" t="inlineStr">
      <is>
        <t>Б</t>
      </is>
    </oc>
    <nc r="H1182"/>
  </rcc>
  <rcc rId="2095" sId="1" numFmtId="4">
    <oc r="G1194">
      <v>826.4</v>
    </oc>
    <nc r="G1194"/>
  </rcc>
  <rcc rId="2096" sId="1">
    <oc r="G1201" t="inlineStr">
      <is>
        <t>+25,0</t>
      </is>
    </oc>
    <nc r="G1201"/>
  </rcc>
  <rcc rId="2097" sId="1" numFmtId="4">
    <oc r="G1226">
      <v>297.8</v>
    </oc>
    <nc r="G1226"/>
  </rcc>
  <rcc rId="2098" sId="1" numFmtId="4">
    <oc r="G1229">
      <v>30.3</v>
    </oc>
    <nc r="G1229"/>
  </rcc>
  <rcc rId="2099" sId="1" numFmtId="4">
    <oc r="G1232">
      <v>793.1</v>
    </oc>
    <nc r="G1232"/>
  </rcc>
  <rcc rId="2100" sId="1" numFmtId="4">
    <oc r="G1233">
      <v>1255.5999999999999</v>
    </oc>
    <nc r="G1233"/>
  </rcc>
  <rcc rId="2101" sId="1" numFmtId="4">
    <oc r="G1239">
      <v>16491.2</v>
    </oc>
    <nc r="G1239"/>
  </rcc>
  <rcc rId="2102" sId="1" numFmtId="4">
    <oc r="G1240">
      <v>6040</v>
    </oc>
    <nc r="G1240"/>
  </rcc>
  <rcc rId="2103" sId="1" numFmtId="4">
    <oc r="G1243">
      <v>2294.3000000000002</v>
    </oc>
    <nc r="G1243"/>
  </rcc>
  <rcc rId="2104" sId="1">
    <oc r="G1250" t="inlineStr">
      <is>
        <t>-25,0</t>
      </is>
    </oc>
    <nc r="G1250"/>
  </rcc>
  <rcc rId="2105" sId="1" numFmtId="4">
    <oc r="G1274">
      <v>45000</v>
    </oc>
    <nc r="G1274"/>
  </rcc>
  <rcc rId="2106" sId="1" numFmtId="4">
    <oc r="G1279">
      <v>904.8</v>
    </oc>
    <nc r="G1279"/>
  </rcc>
  <rcc rId="2107" sId="1" numFmtId="4">
    <oc r="G1286">
      <v>1044.3</v>
    </oc>
    <nc r="G1286"/>
  </rcc>
  <rcc rId="2108" sId="1" numFmtId="4">
    <oc r="G1325">
      <v>27484.3</v>
    </oc>
    <nc r="G1325"/>
  </rcc>
  <rcc rId="2109" sId="1" numFmtId="4">
    <oc r="G1327">
      <v>277.60000000000002</v>
    </oc>
    <nc r="G1327"/>
  </rcc>
  <rcc rId="2110" sId="1" numFmtId="4">
    <oc r="G1329">
      <v>100000</v>
    </oc>
    <nc r="G1329"/>
  </rcc>
  <rcc rId="2111" sId="1">
    <oc r="G1335" t="inlineStr">
      <is>
        <t xml:space="preserve">  +40324,8</t>
      </is>
    </oc>
    <nc r="G1335"/>
  </rcc>
  <rcc rId="2112" sId="1">
    <oc r="G1347" t="inlineStr">
      <is>
        <t xml:space="preserve">  +676,3</t>
      </is>
    </oc>
    <nc r="G1347"/>
  </rcc>
  <rcc rId="2113" sId="1">
    <oc r="G1349" t="inlineStr">
      <is>
        <t xml:space="preserve">   +258,6</t>
      </is>
    </oc>
    <nc r="G1349"/>
  </rcc>
  <rcc rId="2114" sId="1">
    <oc r="G1352" t="inlineStr">
      <is>
        <t xml:space="preserve">  +977,9</t>
      </is>
    </oc>
    <nc r="G1352"/>
  </rcc>
  <rcc rId="2115" sId="1">
    <oc r="G1357" t="inlineStr">
      <is>
        <t xml:space="preserve">  -65,4</t>
      </is>
    </oc>
    <nc r="G1357"/>
  </rcc>
  <rcc rId="2116" sId="1">
    <oc r="G1362" t="inlineStr">
      <is>
        <t xml:space="preserve">  +2097,7</t>
      </is>
    </oc>
    <nc r="G1362"/>
  </rcc>
  <rcc rId="2117" sId="1">
    <oc r="G1390" t="inlineStr">
      <is>
        <t>-237 600</t>
      </is>
    </oc>
    <nc r="G1390"/>
  </rcc>
  <rcc rId="2118" sId="1">
    <oc r="G1392" t="inlineStr">
      <is>
        <t>-2 400    +39,3</t>
      </is>
    </oc>
    <nc r="G1392"/>
  </rcc>
  <rcc rId="2119" sId="1">
    <oc r="G1394" t="inlineStr">
      <is>
        <t>+170 000</t>
      </is>
    </oc>
    <nc r="G1394"/>
  </rcc>
  <rcc rId="2120" sId="1">
    <oc r="G1402" t="inlineStr">
      <is>
        <t xml:space="preserve">+15 000,0 </t>
      </is>
    </oc>
    <nc r="G1402"/>
  </rcc>
  <rcc rId="2121" sId="1">
    <oc r="G1407" t="inlineStr">
      <is>
        <t>+1,7</t>
      </is>
    </oc>
    <nc r="G1407"/>
  </rcc>
  <rcc rId="2122" sId="1">
    <oc r="G1415" t="inlineStr">
      <is>
        <t>-200</t>
      </is>
    </oc>
    <nc r="G1415"/>
  </rcc>
  <rcc rId="2123" sId="1">
    <oc r="G1419" t="inlineStr">
      <is>
        <t>+159</t>
      </is>
    </oc>
    <nc r="G1419"/>
  </rcc>
  <rcc rId="2124" sId="1">
    <oc r="G1427" t="inlineStr">
      <is>
        <t>+6 000,0</t>
      </is>
    </oc>
    <nc r="G1427"/>
  </rcc>
  <rcc rId="2125" sId="1">
    <oc r="G1429" t="inlineStr">
      <is>
        <t>+4 550,0</t>
      </is>
    </oc>
    <nc r="G1429"/>
  </rcc>
  <rcc rId="2126" sId="1">
    <oc r="G1431" t="inlineStr">
      <is>
        <t>+73 000,0</t>
      </is>
    </oc>
    <nc r="G1431"/>
  </rcc>
  <rcc rId="2127" sId="1">
    <oc r="G1433" t="inlineStr">
      <is>
        <t>+ 10 000,0</t>
      </is>
    </oc>
    <nc r="G1433"/>
  </rcc>
  <rcc rId="2128" sId="1" numFmtId="4">
    <oc r="G1445">
      <v>20000</v>
    </oc>
    <nc r="G1445"/>
  </rcc>
  <rcc rId="2129" sId="1">
    <oc r="G1448" t="inlineStr">
      <is>
        <t xml:space="preserve">  +67000</t>
      </is>
    </oc>
    <nc r="G1448"/>
  </rcc>
  <rcc rId="2130" sId="1">
    <oc r="G1450" t="inlineStr">
      <is>
        <t xml:space="preserve">  +10000</t>
      </is>
    </oc>
    <nc r="G1450"/>
  </rcc>
  <rcc rId="2131" sId="1">
    <oc r="G1454" t="inlineStr">
      <is>
        <t xml:space="preserve">   +100000</t>
      </is>
    </oc>
    <nc r="G1454"/>
  </rcc>
  <rcc rId="2132" sId="1" numFmtId="4">
    <oc r="G1456">
      <v>13100</v>
    </oc>
    <nc r="G1456"/>
  </rcc>
  <rcc rId="2133" sId="1">
    <oc r="G1474" t="inlineStr">
      <is>
        <t xml:space="preserve">  +13000</t>
      </is>
    </oc>
    <nc r="G1474"/>
  </rcc>
  <rcc rId="2134" sId="1">
    <oc r="G1481" t="inlineStr">
      <is>
        <t>-25,0</t>
      </is>
    </oc>
    <nc r="G1481"/>
  </rcc>
  <rcc rId="2135" sId="1">
    <oc r="G1486" t="inlineStr">
      <is>
        <t>1681,1</t>
      </is>
    </oc>
    <nc r="G1486"/>
  </rcc>
  <rcc rId="2136" sId="1" numFmtId="4">
    <oc r="H1486">
      <v>9569.6</v>
    </oc>
    <nc r="H1486"/>
  </rcc>
  <rcc rId="2137" sId="1" numFmtId="4">
    <oc r="G1491">
      <v>1411.2</v>
    </oc>
    <nc r="G1491"/>
  </rcc>
  <rcc rId="2138" sId="1">
    <oc r="G1499" t="inlineStr">
      <is>
        <t xml:space="preserve">  +300,6</t>
      </is>
    </oc>
    <nc r="G1499"/>
  </rcc>
  <rcc rId="2139" sId="1">
    <oc r="G1505" t="inlineStr">
      <is>
        <t>+25,0</t>
      </is>
    </oc>
    <nc r="G1505"/>
  </rcc>
  <rcc rId="2140" sId="1">
    <oc r="G1529" t="inlineStr">
      <is>
        <t>-70,7</t>
      </is>
    </oc>
    <nc r="G1529"/>
  </rcc>
  <rcc rId="2141" sId="1">
    <oc r="H1529" t="inlineStr">
      <is>
        <t>Б</t>
      </is>
    </oc>
    <nc r="H1529"/>
  </rcc>
  <rcc rId="2142" sId="1">
    <oc r="G1533" t="inlineStr">
      <is>
        <t>+70,7</t>
      </is>
    </oc>
    <nc r="G1533"/>
  </rcc>
  <rcc rId="2143" sId="1">
    <oc r="H1533" t="inlineStr">
      <is>
        <t>Б</t>
      </is>
    </oc>
    <nc r="H1533"/>
  </rcc>
  <rcc rId="2144" sId="1" numFmtId="4">
    <oc r="G1549">
      <v>1527</v>
    </oc>
    <nc r="G1549"/>
  </rcc>
  <rcc rId="2145" sId="1" numFmtId="4">
    <oc r="G1550">
      <v>717.4</v>
    </oc>
    <nc r="G1550"/>
  </rcc>
  <rcc rId="2146" sId="1" numFmtId="4">
    <oc r="H1550">
      <v>-5054.1000000000004</v>
    </oc>
    <nc r="H1550"/>
  </rcc>
  <rcc rId="2147" sId="1">
    <oc r="G1556" t="inlineStr">
      <is>
        <t>-2628</t>
      </is>
    </oc>
    <nc r="G1556"/>
  </rcc>
  <rcc rId="2148" sId="1">
    <oc r="G1561" t="inlineStr">
      <is>
        <t>+25,0</t>
      </is>
    </oc>
    <nc r="G1561"/>
  </rcc>
  <rcc rId="2149" sId="1" numFmtId="4">
    <oc r="G1583">
      <v>168.7</v>
    </oc>
    <nc r="G1583"/>
  </rcc>
  <rcc rId="2150" sId="1" numFmtId="4">
    <oc r="G1611">
      <v>12354.6</v>
    </oc>
    <nc r="G1611"/>
  </rcc>
  <rcc rId="2151" sId="1" numFmtId="4">
    <oc r="H1611">
      <v>323.39999999999998</v>
    </oc>
    <nc r="H1611"/>
  </rcc>
  <rcc rId="2152" sId="1" numFmtId="4">
    <oc r="I1611">
      <v>5054.1000000000004</v>
    </oc>
    <nc r="I1611"/>
  </rcc>
  <rcc rId="2153" sId="1">
    <oc r="G1620" t="inlineStr">
      <is>
        <t>+8928</t>
      </is>
    </oc>
    <nc r="G1620"/>
  </rcc>
  <rcc rId="2154" sId="1" numFmtId="4">
    <oc r="H1620">
      <v>2628</v>
    </oc>
    <nc r="H1620"/>
  </rcc>
  <rcc rId="2155" sId="1" numFmtId="4">
    <oc r="G1629">
      <v>-25</v>
    </oc>
    <nc r="G1629"/>
  </rcc>
  <rcc rId="2156" sId="1">
    <oc r="G1638">
      <v>570.4</v>
    </oc>
    <nc r="G1638"/>
  </rcc>
  <rcc rId="2157" sId="1" numFmtId="4">
    <oc r="G1645">
      <v>973.2</v>
    </oc>
    <nc r="G1645"/>
  </rcc>
  <rcc rId="2158" sId="1" numFmtId="4">
    <oc r="D1665">
      <v>409208</v>
    </oc>
    <nc r="D1665">
      <v>426143.7</v>
    </nc>
  </rcc>
  <rcc rId="2159" sId="1" numFmtId="4">
    <oc r="D1663">
      <v>63626.8</v>
    </oc>
    <nc r="D1663">
      <v>66067.600000000006</v>
    </nc>
  </rcc>
  <rcc rId="2160" sId="1" numFmtId="4">
    <oc r="D1674">
      <v>200</v>
    </oc>
    <nc r="D1674">
      <v>0</v>
    </nc>
  </rcc>
  <rcc rId="2161" sId="1" numFmtId="4">
    <oc r="D1675">
      <v>0</v>
    </oc>
    <nc r="D1675">
      <v>77.7</v>
    </nc>
  </rcc>
  <rcc rId="2162" sId="1" numFmtId="4">
    <oc r="D1679">
      <v>89998.8</v>
    </oc>
    <nc r="D1679">
      <v>93124.5</v>
    </nc>
  </rcc>
  <rcc rId="2163" sId="1" numFmtId="4">
    <oc r="D1681">
      <v>25</v>
    </oc>
    <nc r="D1681">
      <v>0</v>
    </nc>
  </rcc>
  <rcc rId="2164" sId="1" numFmtId="4">
    <oc r="D1685">
      <v>586460.9</v>
    </oc>
    <nc r="D1685">
      <v>584594.9</v>
    </nc>
  </rcc>
  <rcc rId="2165" sId="1" numFmtId="4">
    <oc r="D1687">
      <v>50</v>
    </oc>
    <nc r="D1687">
      <v>0</v>
    </nc>
  </rcc>
  <rcc rId="2166" sId="1" numFmtId="4">
    <oc r="D1692">
      <v>77.7</v>
    </oc>
    <nc r="D1692">
      <v>0</v>
    </nc>
  </rcc>
  <rcc rId="2167" sId="1" numFmtId="4">
    <oc r="D1693">
      <v>32</v>
    </oc>
    <nc r="D1693">
      <v>0</v>
    </nc>
  </rcc>
  <rcc rId="2168" sId="1" numFmtId="4">
    <oc r="D1696">
      <v>995</v>
    </oc>
    <nc r="D1696">
      <v>1695</v>
    </nc>
  </rcc>
  <rcc rId="2169" sId="1" numFmtId="4">
    <oc r="D1699">
      <v>348.3</v>
    </oc>
    <nc r="D1699">
      <v>1559.3</v>
    </nc>
  </rcc>
  <rcc rId="2170" sId="1" numFmtId="4">
    <oc r="D1703">
      <v>6273.5</v>
    </oc>
    <nc r="D1703">
      <v>7073.5</v>
    </nc>
  </rcc>
  <rcc rId="2171" sId="1" numFmtId="4">
    <oc r="D1706">
      <v>56475.5</v>
    </oc>
    <nc r="D1706">
      <v>57680.5</v>
    </nc>
  </rcc>
  <rcc rId="2172" sId="1" numFmtId="4">
    <oc r="D1707">
      <v>349562.1</v>
    </oc>
    <nc r="D1707">
      <v>359333.2</v>
    </nc>
  </rcc>
  <rcc rId="2173" sId="1" numFmtId="4">
    <oc r="D1709">
      <v>42865.7</v>
    </oc>
    <nc r="D1709">
      <v>43642.9</v>
    </nc>
  </rcc>
  <rcc rId="2174" sId="1" numFmtId="4">
    <oc r="D1710">
      <v>107115.3</v>
    </oc>
    <nc r="D1710">
      <v>109226.3</v>
    </nc>
  </rcc>
  <rcc rId="2175" sId="1" numFmtId="4">
    <oc r="D1712">
      <v>20015.099999999999</v>
    </oc>
    <nc r="D1712">
      <v>0</v>
    </nc>
  </rcc>
  <rcc rId="2176" sId="1" numFmtId="4">
    <oc r="D1713">
      <v>84</v>
    </oc>
    <nc r="D1713">
      <v>0</v>
    </nc>
  </rcc>
  <rcc rId="2177" sId="1" numFmtId="4">
    <oc r="D1714">
      <v>42069.9</v>
    </oc>
    <nc r="D1714">
      <v>42793.8</v>
    </nc>
  </rcc>
  <rcc rId="2178" sId="1" numFmtId="4">
    <oc r="D1715">
      <v>68213.2</v>
    </oc>
    <nc r="D1715">
      <v>69357.2</v>
    </nc>
  </rcc>
  <rcv guid="{36DCE0BA-3DAA-4D16-9A6C-D74D85939BC4}" action="delete"/>
  <rdn rId="0" localSheetId="1" customView="1" name="Z_36DCE0BA_3DAA_4D16_9A6C_D74D85939BC4_.wvu.PrintArea" hidden="1" oldHidden="1">
    <formula>' внеочер. февраль'!$A$1:$F$1646</formula>
    <oldFormula>' внеочер. февраль'!$A$1:$F$1646</oldFormula>
  </rdn>
  <rdn rId="0" localSheetId="1" customView="1" name="Z_36DCE0BA_3DAA_4D16_9A6C_D74D85939BC4_.wvu.PrintTitles" hidden="1" oldHidden="1">
    <formula>' внеочер. февраль'!$9:$10</formula>
    <oldFormula>' внеочер. февраль'!$9:$10</oldFormula>
  </rdn>
  <rdn rId="0" localSheetId="1" customView="1" name="Z_36DCE0BA_3DAA_4D16_9A6C_D74D85939BC4_.wvu.FilterData" hidden="1" oldHidden="1">
    <formula>' внеочер. февраль'!$A$10:$O$1647</formula>
    <oldFormula>' внеочер. февраль'!$A$10:$O$1647</oldFormula>
  </rdn>
  <rcv guid="{36DCE0BA-3DAA-4D16-9A6C-D74D85939BC4}" action="add"/>
  <rsnm rId="2182" sheetId="1" oldName="[Приложение 5  по ГРБС от 31.01.2018.xlsx]январь" newName="[Приложение 5  по ГРБС от 31.01.2018.xlsx] внеочер. февраль"/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3" sId="1" ref="A1235:XFD1235" action="insertRow"/>
  <rrc rId="2184" sId="1" ref="A1235:XFD1235" action="insertRow"/>
  <rcc rId="2185" sId="1">
    <nc r="A1235" t="inlineStr">
      <is>
        <t>Расходы на обеспечение деятельности (оказание услуг) муниципальных учреждений</t>
      </is>
    </nc>
  </rcc>
  <rcc rId="2186" sId="1">
    <nc r="A1236" t="inlineStr">
      <is>
        <t xml:space="preserve">Субсидии бюджетным учреждениям </t>
      </is>
    </nc>
  </rcc>
  <rcc rId="2187" sId="1">
    <nc r="B1235" t="inlineStr">
      <is>
        <t>913</t>
      </is>
    </nc>
  </rcc>
  <rcc rId="2188" sId="1">
    <nc r="C1235" t="inlineStr">
      <is>
        <t>0801</t>
      </is>
    </nc>
  </rcc>
  <rcc rId="2189" sId="1">
    <nc r="D1235" t="inlineStr">
      <is>
        <t>1900600590</t>
      </is>
    </nc>
  </rcc>
  <rcc rId="2190" sId="1">
    <nc r="B1236" t="inlineStr">
      <is>
        <t>913</t>
      </is>
    </nc>
  </rcc>
  <rcc rId="2191" sId="1">
    <nc r="C1236" t="inlineStr">
      <is>
        <t>0801</t>
      </is>
    </nc>
  </rcc>
  <rcc rId="2192" sId="1">
    <nc r="D1236" t="inlineStr">
      <is>
        <t>1900600590</t>
      </is>
    </nc>
  </rcc>
  <rcc rId="2193" sId="1">
    <nc r="E1236">
      <v>620</v>
    </nc>
  </rcc>
  <rcc rId="2194" sId="1">
    <nc r="F1235">
      <f>F1236</f>
    </nc>
  </rcc>
  <rcc rId="2195" sId="1">
    <oc r="F1234">
      <f>F1237</f>
    </oc>
    <nc r="F1234">
      <f>F1237+F1235</f>
    </nc>
  </rcc>
  <rcc rId="2196" sId="1" numFmtId="4">
    <nc r="G1236">
      <v>25265.599999999999</v>
    </nc>
  </rcc>
  <rfmt sheetId="1" sqref="G1236">
    <dxf>
      <numFmt numFmtId="165" formatCode="#,##0.0"/>
    </dxf>
  </rfmt>
  <rfmt sheetId="1" sqref="G1236" start="0" length="2147483647">
    <dxf>
      <font>
        <color rgb="FFFF0000"/>
      </font>
    </dxf>
  </rfmt>
  <rfmt sheetId="1" sqref="G1236" start="0" length="2147483647">
    <dxf>
      <font>
        <b/>
      </font>
    </dxf>
  </rfmt>
  <rfmt sheetId="1" sqref="G1236">
    <dxf>
      <numFmt numFmtId="169" formatCode="\+0.0"/>
    </dxf>
  </rfmt>
  <rcc rId="2197" sId="1" numFmtId="4">
    <nc r="F1236">
      <v>25265.599999999999</v>
    </nc>
  </rcc>
  <rcv guid="{A6AD508C-AEED-43C7-976B-DD33C28CD830}" action="delete"/>
  <rdn rId="0" localSheetId="1" customView="1" name="Z_A6AD508C_AEED_43C7_976B_DD33C28CD830_.wvu.PrintArea" hidden="1" oldHidden="1">
    <formula>' внеочер. февраль'!$A$6:$F$1648</formula>
    <oldFormula>' внеочер. февраль'!$A$6:$F$1648</oldFormula>
  </rdn>
  <rdn rId="0" localSheetId="1" customView="1" name="Z_A6AD508C_AEED_43C7_976B_DD33C28CD830_.wvu.PrintTitles" hidden="1" oldHidden="1">
    <formula>' внеочер. февраль'!$9:$10</formula>
    <oldFormula>' внеочер. февраль'!$9:$10</oldFormula>
  </rdn>
  <rdn rId="0" localSheetId="1" customView="1" name="Z_A6AD508C_AEED_43C7_976B_DD33C28CD830_.wvu.FilterData" hidden="1" oldHidden="1">
    <formula>' внеочер. февраль'!$A$10:$F$1649</formula>
    <oldFormula>' внеочер. февраль'!$A$10:$F$1649</oldFormula>
  </rdn>
  <rcv guid="{A6AD508C-AEED-43C7-976B-DD33C28CD830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F166" start="0" length="2147483647">
    <dxf>
      <font>
        <color auto="1"/>
      </font>
    </dxf>
  </rfmt>
  <rcc rId="1" sId="1">
    <nc r="G468">
      <v>57999</v>
    </nc>
  </rcc>
  <rfmt sheetId="1" sqref="G468">
    <dxf>
      <numFmt numFmtId="166" formatCode="0.0"/>
    </dxf>
  </rfmt>
  <rcc rId="2" sId="1" numFmtId="4">
    <oc r="F468">
      <v>258333.6</v>
    </oc>
    <nc r="F468">
      <f>258333.6+57999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" sId="1">
    <oc r="F678">
      <f>7928.2</f>
    </oc>
    <nc r="F678">
      <f>7928.2+2000</f>
    </nc>
  </rcc>
  <rcc rId="432" sId="1" numFmtId="4">
    <nc r="G678">
      <v>2000</v>
    </nc>
  </rcc>
  <rcc rId="433" sId="1" numFmtId="4">
    <oc r="F664">
      <v>11749.4</v>
    </oc>
    <nc r="F664">
      <f>11749.4+6000</f>
    </nc>
  </rcc>
  <rcc rId="434" sId="1" numFmtId="4">
    <nc r="G664">
      <v>6000</v>
    </nc>
  </rcc>
  <rcc rId="435" sId="1" numFmtId="4">
    <oc r="F647">
      <v>4910.3999999999996</v>
    </oc>
    <nc r="F647">
      <f>4910.4+2000</f>
    </nc>
  </rcc>
  <rcc rId="436" sId="1" numFmtId="4">
    <nc r="G647">
      <v>2000</v>
    </nc>
  </rcc>
  <rcc rId="437" sId="1" numFmtId="4">
    <oc r="F769">
      <v>4120</v>
    </oc>
    <nc r="F769">
      <f>4120+1000</f>
    </nc>
  </rcc>
  <rcc rId="438" sId="1">
    <nc r="G769" t="inlineStr">
      <is>
        <t>+1000</t>
      </is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1" sId="1">
    <nc r="B2021">
      <f>F1236</f>
    </nc>
  </rcc>
  <rcc rId="2202" sId="1">
    <oc r="B2016">
      <f>SUM(B2017:B2024)</f>
    </oc>
    <nc r="B2016">
      <f>SUM(B2017:B2024)</f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3" sId="1" numFmtId="4">
    <oc r="D1719">
      <v>9355</v>
    </oc>
    <nc r="D1719">
      <v>19482.2</v>
    </nc>
  </rcc>
  <rcc rId="2204" sId="1" numFmtId="4">
    <oc r="D1721">
      <v>10664.6</v>
    </oc>
    <nc r="D1721">
      <v>40664.6</v>
    </nc>
  </rcc>
  <rcc rId="2205" sId="1" numFmtId="4">
    <nc r="D1726">
      <v>6425</v>
    </nc>
  </rcc>
  <rcc rId="2206" sId="1" numFmtId="4">
    <oc r="D1733">
      <v>116655.8</v>
    </oc>
    <nc r="D1733">
      <v>119275.3</v>
    </nc>
  </rcc>
  <rcc rId="2207" sId="1" numFmtId="4">
    <oc r="D1736">
      <v>420</v>
    </oc>
    <nc r="D1736">
      <v>431.4</v>
    </nc>
  </rcc>
  <rcc rId="2208" sId="1" numFmtId="4">
    <oc r="D1737">
      <v>11.4</v>
    </oc>
    <nc r="D1737">
      <v>0</v>
    </nc>
  </rcc>
  <rcc rId="2209" sId="1" numFmtId="4">
    <oc r="D1743">
      <v>8562.2000000000007</v>
    </oc>
    <nc r="D1743">
      <v>11062.2</v>
    </nc>
  </rcc>
  <rcc rId="2210" sId="1" numFmtId="4">
    <oc r="D1745">
      <v>1042</v>
    </oc>
    <nc r="D1745">
      <v>1542</v>
    </nc>
  </rcc>
  <rcc rId="2211" sId="1" numFmtId="4">
    <oc r="D1753">
      <v>10000</v>
    </oc>
    <nc r="D1753">
      <v>15000</v>
    </nc>
  </rcc>
  <rcc rId="2212" sId="1" numFmtId="4">
    <oc r="D1757">
      <v>127761.9</v>
    </oc>
    <nc r="D1757">
      <v>148546</v>
    </nc>
  </rcc>
  <rcc rId="2213" sId="1" numFmtId="4">
    <oc r="D1760">
      <v>1448369.6</v>
    </oc>
    <nc r="D1760">
      <v>1488694.4</v>
    </nc>
  </rcc>
  <rcc rId="2214" sId="1" numFmtId="4">
    <oc r="D1761">
      <v>12848.3</v>
    </oc>
    <nc r="D1761">
      <v>13783.2</v>
    </nc>
  </rcc>
  <rcc rId="2215" sId="1" numFmtId="4">
    <oc r="D1762">
      <v>12874.8</v>
    </oc>
    <nc r="D1762">
      <v>13852.7</v>
    </nc>
  </rcc>
  <rcc rId="2216" sId="1" numFmtId="4">
    <oc r="D1763">
      <v>3151.1</v>
    </oc>
    <nc r="D1763">
      <v>3085.7</v>
    </nc>
  </rcc>
  <rcc rId="2217" sId="1" numFmtId="4">
    <oc r="D1764">
      <v>19263.3</v>
    </oc>
    <nc r="D1764">
      <v>21361</v>
    </nc>
  </rcc>
  <rcc rId="2218" sId="1" numFmtId="4">
    <oc r="D1767">
      <v>227918.2</v>
    </oc>
    <nc r="D1767">
      <v>0</v>
    </nc>
  </rcc>
  <rcc rId="2219" sId="1" numFmtId="4">
    <oc r="D1768">
      <v>333967.8</v>
    </oc>
    <nc r="D1768">
      <v>0</v>
    </nc>
  </rcc>
  <rcc rId="2220" sId="1" numFmtId="4">
    <oc r="D1766">
      <v>10000</v>
    </oc>
    <nc r="D1766">
      <v>216234.3</v>
    </nc>
  </rcc>
  <rcc rId="2221" sId="1" numFmtId="4">
    <oc r="D1771">
      <v>0</v>
    </oc>
    <nc r="D1771">
      <v>199</v>
    </nc>
  </rcc>
  <rcc rId="2222" sId="1" numFmtId="4">
    <oc r="D1772">
      <v>0</v>
    </oc>
    <nc r="D1772">
      <v>437733.5</v>
    </nc>
  </rcc>
  <rcc rId="2223" sId="1" numFmtId="4">
    <oc r="D1774">
      <v>8881.5</v>
    </oc>
    <nc r="D1774">
      <v>10881.5</v>
    </nc>
  </rcc>
  <rcc rId="2224" sId="1" numFmtId="4">
    <oc r="D1778">
      <v>50</v>
    </oc>
    <nc r="D1778">
      <v>25</v>
    </nc>
  </rcc>
  <rcc rId="2225" sId="1" numFmtId="4">
    <oc r="D1785">
      <v>11749.4</v>
    </oc>
    <nc r="D1785">
      <v>17749.400000000001</v>
    </nc>
  </rcc>
  <rcc rId="2226" sId="1" numFmtId="4">
    <oc r="D1786">
      <v>820</v>
    </oc>
    <nc r="D1786">
      <v>749.3</v>
    </nc>
  </rcc>
  <rcc rId="2227" sId="1" numFmtId="4">
    <oc r="D1788">
      <v>0</v>
    </oc>
    <nc r="D1788">
      <v>70.7</v>
    </nc>
  </rcc>
  <rcc rId="2228" sId="1" numFmtId="4">
    <oc r="D1797">
      <v>7928.2</v>
    </oc>
    <nc r="D1797">
      <v>9928.2000000000007</v>
    </nc>
  </rcc>
  <rcc rId="2229" sId="1" numFmtId="4">
    <oc r="D1798">
      <v>73118.5</v>
    </oc>
    <nc r="D1798">
      <v>81265.5</v>
    </nc>
  </rcc>
  <rcc rId="2230" sId="1" numFmtId="4">
    <oc r="D1808">
      <v>3920</v>
    </oc>
    <nc r="D1808">
      <v>3959.3</v>
    </nc>
  </rcc>
  <rcc rId="2231" sId="1" numFmtId="4">
    <oc r="D1812">
      <v>0</v>
    </oc>
    <nc r="D1812">
      <v>170000</v>
    </nc>
  </rcc>
  <rcc rId="2232" sId="1" numFmtId="4">
    <oc r="D1815">
      <v>4430</v>
    </oc>
    <nc r="D1815">
      <v>19430</v>
    </nc>
  </rcc>
  <rcc rId="2233" sId="1" numFmtId="4">
    <oc r="D1818">
      <v>177</v>
    </oc>
    <nc r="D1818">
      <v>178.7</v>
    </nc>
  </rcc>
  <rcc rId="2234" sId="1" numFmtId="4">
    <oc r="D1819">
      <v>0</v>
    </oc>
    <nc r="D1819">
      <v>225</v>
    </nc>
  </rcc>
  <rcc rId="2235" sId="1" numFmtId="4">
    <oc r="D1821">
      <v>200</v>
    </oc>
    <nc r="D1821">
      <v>0</v>
    </nc>
  </rcc>
  <rcc rId="2236" sId="1" numFmtId="4">
    <oc r="D1823">
      <v>18500</v>
    </oc>
    <nc r="D1823">
      <v>18659</v>
    </nc>
  </rcc>
  <rcc rId="2237" sId="1" numFmtId="4">
    <oc r="D1825">
      <v>60225</v>
    </oc>
    <nc r="D1825">
      <v>60000</v>
    </nc>
  </rcc>
  <rcc rId="2238" sId="1" numFmtId="4">
    <oc r="D1832">
      <v>7964.2</v>
    </oc>
    <nc r="D1832">
      <v>7984.2</v>
    </nc>
  </rcc>
  <rcc rId="2239" sId="1" numFmtId="4">
    <oc r="D1834">
      <v>728058.4</v>
    </oc>
    <nc r="D1834">
      <v>979012.5</v>
    </nc>
  </rcc>
  <rcc rId="2240" sId="1" numFmtId="4">
    <oc r="D1838">
      <v>4874</v>
    </oc>
    <nc r="D1838">
      <v>77874</v>
    </nc>
  </rcc>
  <rcc rId="2241" sId="1" numFmtId="4">
    <nc r="D1840">
      <v>37934.1</v>
    </nc>
  </rcc>
  <rcc rId="2242" sId="1" numFmtId="4">
    <oc r="D1842">
      <v>0</v>
    </oc>
    <nc r="D1842">
      <v>6000</v>
    </nc>
  </rcc>
  <rcc rId="2243" sId="1" numFmtId="4">
    <oc r="D1843">
      <v>2113.1999999999998</v>
    </oc>
    <nc r="D1843">
      <v>6663.2</v>
    </nc>
  </rcc>
  <rcc rId="2244" sId="1" numFmtId="4">
    <oc r="D1844">
      <v>0</v>
    </oc>
    <nc r="D1844">
      <v>10000</v>
    </nc>
  </rcc>
  <rcc rId="2245" sId="1" numFmtId="4">
    <oc r="D1847">
      <v>156775.5</v>
    </oc>
    <nc r="D1847">
      <v>177361.7</v>
    </nc>
  </rcc>
  <rcc rId="2246" sId="1" numFmtId="4">
    <oc r="D1848">
      <v>163586</v>
    </oc>
    <nc r="D1848">
      <v>177093.5</v>
    </nc>
  </rcc>
  <rcc rId="2247" sId="1" numFmtId="4">
    <oc r="D1849">
      <v>18638.400000000001</v>
    </oc>
    <nc r="D1849">
      <v>19079</v>
    </nc>
  </rcc>
  <rcc rId="2248" sId="1" numFmtId="4">
    <oc r="D1857">
      <v>10500</v>
    </oc>
    <nc r="D1857">
      <v>30500</v>
    </nc>
  </rcc>
  <rcc rId="2249" sId="1" numFmtId="4">
    <oc r="D1858">
      <v>294716.09999999998</v>
    </oc>
    <nc r="D1858">
      <v>461000</v>
    </nc>
  </rcc>
  <rcc rId="2250" sId="1" numFmtId="4">
    <nc r="D1862">
      <v>13000</v>
    </nc>
  </rcc>
  <rcc rId="2251" sId="1" numFmtId="4">
    <oc r="D1863">
      <v>5000</v>
    </oc>
    <nc r="D1863">
      <v>0</v>
    </nc>
  </rcc>
  <rcc rId="2252" sId="1" numFmtId="4">
    <nc r="D1865">
      <v>28816.1</v>
    </nc>
  </rcc>
  <rcc rId="2253" sId="1">
    <nc r="F1865">
      <f>B1865-D1865</f>
    </nc>
  </rcc>
  <rcc rId="2254" sId="1" numFmtId="4">
    <oc r="D1869">
      <v>4120</v>
    </oc>
    <nc r="D1869">
      <v>5120</v>
    </nc>
  </rcc>
  <rcc rId="2255" sId="1" numFmtId="4">
    <oc r="D1871">
      <v>106380</v>
    </oc>
    <nc r="D1871">
      <v>117630.7</v>
    </nc>
  </rcc>
  <rcc rId="2256" sId="1" numFmtId="4">
    <oc r="D1872">
      <v>82683.199999999997</v>
    </oc>
    <nc r="D1872">
      <v>84094.399999999994</v>
    </nc>
  </rcc>
  <rcc rId="2257" sId="1" numFmtId="4">
    <oc r="D1874">
      <v>25</v>
    </oc>
    <nc r="D1874">
      <v>0</v>
    </nc>
  </rcc>
  <rcc rId="2258" sId="1" numFmtId="4">
    <oc r="D1885">
      <v>566117.9</v>
    </oc>
    <nc r="D1885">
      <v>590463.4</v>
    </nc>
  </rcc>
  <rcc rId="2259" sId="1" numFmtId="4">
    <oc r="D1895">
      <v>18180</v>
    </oc>
    <nc r="D1895">
      <v>19339.2</v>
    </nc>
  </rcc>
  <rcc rId="2260" sId="1" numFmtId="4">
    <oc r="D1903">
      <v>101068.7</v>
    </oc>
    <nc r="D1903">
      <v>131068.7</v>
    </nc>
  </rcc>
  <rcc rId="2261" sId="1" numFmtId="4">
    <oc r="D1905">
      <v>231107.9</v>
    </oc>
    <nc r="D1905">
      <v>248719.2</v>
    </nc>
  </rcc>
  <rcc rId="2262" sId="1" numFmtId="4">
    <oc r="D1906">
      <v>19054.7</v>
    </oc>
    <nc r="D1906">
      <v>19201.2</v>
    </nc>
  </rcc>
  <rcc rId="2263" sId="1" numFmtId="4">
    <nc r="D1914">
      <v>5000</v>
    </nc>
  </rcc>
  <rcc rId="2264" sId="1" numFmtId="4">
    <oc r="D1915">
      <v>343315.9</v>
    </oc>
    <nc r="D1915">
      <v>343552.9</v>
    </nc>
  </rcc>
  <rcc rId="2265" sId="1" numFmtId="4">
    <oc r="D1917">
      <v>34867</v>
    </oc>
    <nc r="D1917">
      <v>89745.4</v>
    </nc>
  </rcc>
  <rcc rId="2266" sId="1" numFmtId="4">
    <oc r="D1920">
      <v>30000</v>
    </oc>
    <nc r="D1920">
      <v>68729</v>
    </nc>
  </rcc>
  <rcc rId="2267" sId="1" numFmtId="4">
    <oc r="D1931">
      <v>120463.7</v>
    </oc>
    <nc r="D1931">
      <v>123029.1</v>
    </nc>
  </rcc>
  <rcc rId="2268" sId="1" numFmtId="4">
    <oc r="D1934">
      <v>10000</v>
    </oc>
    <nc r="D1934">
      <v>12147.3</v>
    </nc>
  </rcc>
  <rcc rId="2269" sId="1" numFmtId="4">
    <oc r="D1938">
      <v>156261.70000000001</v>
    </oc>
    <nc r="D1938">
      <v>153452</v>
    </nc>
  </rcc>
  <rcc rId="2270" sId="1" numFmtId="4">
    <oc r="D1941">
      <v>5191.8</v>
    </oc>
    <nc r="D1941">
      <v>2563.8000000000002</v>
    </nc>
  </rcc>
  <rcc rId="2271" sId="1" numFmtId="4">
    <oc r="D1949">
      <v>365517.2</v>
    </oc>
    <nc r="D1949">
      <v>366343.6</v>
    </nc>
  </rcc>
  <rcc rId="2272" sId="1" numFmtId="4">
    <oc r="D1953">
      <v>0</v>
    </oc>
    <nc r="D1953">
      <v>390</v>
    </nc>
  </rcc>
  <rcc rId="2273" sId="1" numFmtId="4">
    <oc r="D1954">
      <v>0</v>
    </oc>
    <nc r="D1954">
      <v>32</v>
    </nc>
  </rcc>
  <rcc rId="2274" sId="1" numFmtId="4">
    <oc r="D1976">
      <v>31290</v>
    </oc>
    <nc r="D1976">
      <v>31458.7</v>
    </nc>
  </rcc>
  <rcc rId="2275" sId="1" numFmtId="4">
    <oc r="D1995">
      <v>109123</v>
    </oc>
    <nc r="D1995">
      <v>111097.9</v>
    </nc>
  </rcc>
  <rcc rId="2276" sId="1" numFmtId="4">
    <oc r="D1996">
      <v>27569.5</v>
    </oc>
    <nc r="D1996">
      <v>28070.3</v>
    </nc>
  </rcc>
  <rcc rId="2277" sId="1" numFmtId="4">
    <oc r="D1998">
      <v>15</v>
    </oc>
    <nc r="D1998">
      <v>0</v>
    </nc>
  </rcc>
  <rcc rId="2278" sId="1" numFmtId="4">
    <oc r="D2012">
      <v>64569.5</v>
    </oc>
    <nc r="D2012">
      <v>65530.6</v>
    </nc>
  </rcc>
  <rcc rId="2279" sId="1" numFmtId="4">
    <oc r="D2018">
      <v>176646.39999999999</v>
    </oc>
    <nc r="D2018">
      <v>176944.2</v>
    </nc>
  </rcc>
  <rcc rId="2280" sId="1" numFmtId="4">
    <oc r="D2019">
      <v>90526</v>
    </oc>
    <nc r="D2019">
      <v>90556.3</v>
    </nc>
  </rcc>
  <rcc rId="2281" sId="1" numFmtId="4">
    <oc r="D2020">
      <v>643928.80000000005</v>
    </oc>
    <nc r="D2020">
      <v>645977.5</v>
    </nc>
  </rcc>
  <rcc rId="2282" sId="1" numFmtId="4">
    <oc r="D2022">
      <v>45253.5</v>
    </oc>
    <nc r="D2022">
      <v>67784.7</v>
    </nc>
  </rcc>
  <rcc rId="2283" sId="1" numFmtId="4">
    <nc r="D2023">
      <v>2294.3000000000002</v>
    </nc>
  </rcc>
  <rcc rId="2284" sId="1" numFmtId="4">
    <oc r="D2028">
      <v>25</v>
    </oc>
    <nc r="D2028">
      <v>0</v>
    </nc>
  </rcc>
  <rcc rId="2285" sId="1" numFmtId="4">
    <oc r="D2034">
      <v>9843.7999999999993</v>
    </oc>
    <nc r="D2034">
      <v>54843.8</v>
    </nc>
  </rcc>
  <rcc rId="2286" sId="1" numFmtId="4">
    <oc r="D2038">
      <v>25830.5</v>
    </oc>
    <nc r="D2038">
      <v>26735.3</v>
    </nc>
  </rcc>
  <rcc rId="2287" sId="1" numFmtId="4">
    <oc r="D2039">
      <v>29040</v>
    </oc>
    <nc r="D2039">
      <v>30084.3</v>
    </nc>
  </rcc>
  <rcc rId="2288" sId="1" numFmtId="4">
    <oc r="D2054">
      <v>0</v>
    </oc>
    <nc r="D2054">
      <v>279.60000000000002</v>
    </nc>
  </rcc>
  <rcc rId="2289" sId="1" numFmtId="4">
    <oc r="D2059">
      <v>258333.6</v>
    </oc>
    <nc r="D2059">
      <v>316332.59999999998</v>
    </nc>
  </rcc>
  <rcc rId="2290" sId="1" numFmtId="4">
    <oc r="D2068">
      <v>3462</v>
    </oc>
    <nc r="D2068">
      <v>3225</v>
    </nc>
  </rcc>
  <rcc rId="2291" sId="1" numFmtId="4">
    <oc r="D2077">
      <v>1311</v>
    </oc>
    <nc r="D2077">
      <v>0</v>
    </nc>
  </rcc>
  <rcc rId="2292" sId="1" numFmtId="4">
    <oc r="D2082">
      <v>28689</v>
    </oc>
    <nc r="D2082">
      <v>30000</v>
    </nc>
  </rcc>
  <rcc rId="2293" sId="1" numFmtId="4">
    <oc r="D2083">
      <v>0</v>
    </oc>
    <nc r="D2083">
      <v>237</v>
    </nc>
  </rcc>
  <rcc rId="2294" sId="1" numFmtId="4">
    <oc r="D2091">
      <v>279.60000000000002</v>
    </oc>
    <nc r="D2091">
      <v>0</v>
    </nc>
  </rcc>
  <rcc rId="2295" sId="1" numFmtId="4">
    <oc r="D2095">
      <v>405752.9</v>
    </oc>
    <nc r="D2095">
      <v>393218.5</v>
    </nc>
  </rcc>
  <rcc rId="2296" sId="1" numFmtId="4">
    <oc r="D2096">
      <v>0</v>
    </oc>
    <nc r="D2096">
      <v>5389.8</v>
    </nc>
  </rcc>
  <rcc rId="2297" sId="1" numFmtId="4">
    <oc r="D2097">
      <v>0</v>
    </oc>
    <nc r="D2097">
      <v>7144.6</v>
    </nc>
  </rcc>
  <rcc rId="2298" sId="1" numFmtId="4">
    <oc r="D2104">
      <v>1825</v>
    </oc>
    <nc r="D2104">
      <v>3525</v>
    </nc>
  </rcc>
  <rcc rId="2299" sId="1" numFmtId="4">
    <oc r="D2123">
      <v>26386.6</v>
    </oc>
    <nc r="D2123">
      <v>44118.7</v>
    </nc>
  </rcc>
  <rcc rId="2300" sId="1" numFmtId="4">
    <nc r="D2128">
      <v>11556</v>
    </nc>
  </rcc>
  <rcc rId="2301" sId="1" numFmtId="4">
    <oc r="D2130">
      <v>104597.1</v>
    </oc>
    <nc r="D2130">
      <v>104981.8</v>
    </nc>
  </rcc>
  <rcc rId="2302" sId="1" numFmtId="4">
    <oc r="D2133">
      <v>25</v>
    </oc>
    <nc r="D2133">
      <v>0</v>
    </nc>
  </rcc>
  <rcc rId="2303" sId="1" numFmtId="4">
    <oc r="D2136">
      <v>15827.7</v>
    </oc>
    <nc r="D2136">
      <v>16398.099999999999</v>
    </nc>
  </rcc>
  <rcc rId="2304" sId="1" numFmtId="4">
    <oc r="D2137">
      <v>29063.8</v>
    </oc>
    <nc r="D2137">
      <v>30037</v>
    </nc>
  </rcc>
  <rcc rId="2305" sId="1" numFmtId="4">
    <oc r="D2142">
      <v>20291</v>
    </oc>
    <nc r="D2142">
      <v>20576</v>
    </nc>
  </rcc>
  <rcc rId="2306" sId="1" numFmtId="4">
    <oc r="D2145">
      <v>2349.6</v>
    </oc>
    <nc r="D2145">
      <v>3004.6</v>
    </nc>
  </rcc>
  <rfmt sheetId="1" sqref="C1883" start="0" length="0">
    <dxf>
      <font>
        <sz val="12"/>
        <color auto="1"/>
      </font>
    </dxf>
  </rfmt>
  <rcc rId="2307" sId="1" odxf="1" dxf="1">
    <oc r="D1883">
      <f>D1884+D1904+D1955+D1979+D1930</f>
    </oc>
    <nc r="D1883">
      <f>D1884+D1904+D1955+D1979+D1930+D1952</f>
    </nc>
    <odxf>
      <font>
        <color auto="1"/>
      </font>
      <fill>
        <patternFill>
          <bgColor theme="0"/>
        </patternFill>
      </fill>
    </odxf>
    <ndxf>
      <font>
        <sz val="12"/>
        <color auto="1"/>
      </font>
      <fill>
        <patternFill>
          <bgColor theme="0" tint="-0.34998626667073579"/>
        </patternFill>
      </fill>
    </ndxf>
  </rcc>
  <rfmt sheetId="1" sqref="C1758" start="0" length="0">
    <dxf>
      <font>
        <sz val="12"/>
        <color auto="1"/>
      </font>
    </dxf>
  </rfmt>
  <rcc rId="2308" sId="1" odxf="1" dxf="1">
    <oc r="D1758">
      <f>SUM(D1759:D1771)</f>
    </oc>
    <nc r="D1758">
      <f>SUM(D1759:D1772)</f>
    </nc>
    <odxf>
      <font>
        <color auto="1"/>
      </font>
      <fill>
        <patternFill>
          <bgColor theme="0"/>
        </patternFill>
      </fill>
    </odxf>
    <ndxf>
      <font>
        <sz val="12"/>
        <color auto="1"/>
      </font>
      <fill>
        <patternFill>
          <bgColor theme="0" tint="-0.14999847407452621"/>
        </patternFill>
      </fill>
    </ndxf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41:F143" start="0" length="2147483647">
    <dxf>
      <font>
        <color auto="1"/>
      </font>
    </dxf>
  </rfmt>
  <rcc rId="2309" sId="1">
    <oc r="F184">
      <f>3500+30000</f>
    </oc>
    <nc r="F184">
      <f>3500+30000-25265.6</f>
    </nc>
  </rcc>
  <rcc rId="2310" sId="1">
    <nc r="G184" t="inlineStr">
      <is>
        <t>-25265,6</t>
      </is>
    </nc>
  </rcc>
  <rcv guid="{9AAB4CD6-CA02-4F89-A251-5612382981E7}" action="delete"/>
  <rdn rId="0" localSheetId="1" customView="1" name="Z_9AAB4CD6_CA02_4F89_A251_5612382981E7_.wvu.PrintArea" hidden="1" oldHidden="1">
    <formula>' внеочер. февраль'!$A$1:$F$1648</formula>
    <oldFormula>' внеочер. февраль'!$A$1:$F$1648</oldFormula>
  </rdn>
  <rdn rId="0" localSheetId="1" customView="1" name="Z_9AAB4CD6_CA02_4F89_A251_5612382981E7_.wvu.PrintTitles" hidden="1" oldHidden="1">
    <formula>' внеочер. февраль'!$9:$10</formula>
    <oldFormula>' внеочер. февраль'!$9:$10</oldFormula>
  </rdn>
  <rdn rId="0" localSheetId="1" customView="1" name="Z_9AAB4CD6_CA02_4F89_A251_5612382981E7_.wvu.FilterData" hidden="1" oldHidden="1">
    <formula>' внеочер. февраль'!$A$10:$F$1649</formula>
    <oldFormula>' внеочер. февраль'!$A$10:$O$1649</oldFormula>
  </rdn>
  <rcv guid="{9AAB4CD6-CA02-4F89-A251-5612382981E7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4" sId="1">
    <oc r="G184" t="inlineStr">
      <is>
        <t>-25265,6</t>
      </is>
    </oc>
    <nc r="G184"/>
  </rcc>
  <rcc rId="2315" sId="1" numFmtId="4">
    <oc r="G1236">
      <v>25265.599999999999</v>
    </oc>
    <nc r="G1236"/>
  </rcc>
  <rrc rId="2316" sId="1" ref="A1650:XFD1650" action="deleteRow">
    <undo index="0" exp="area" ref3D="1" dr="$A$10:$N$1650" dn="Z_FDC8044B_933B_4948_A968_7A946CE5CA88_.wvu.FilterData" sId="1"/>
    <undo index="0" exp="area" ref3D="1" dr="$A$9:$F$1650" dn="Z_F4139497_4239_4CEE_B140_EAB04D984C30_.wvu.FilterData" sId="1"/>
    <undo index="0" exp="area" ref3D="1" dr="$A$9:$N$1650" dn="Z_EF39900B_41FE_4F72_A539_EEFCF09BE4BF_.wvu.FilterData" sId="1"/>
    <undo index="0" exp="area" ref3D="1" dr="$A$10:$N$1650" dn="Z_E135932B_811A_4AC7_813B_7D81B1BEE450_.wvu.FilterData" sId="1"/>
    <undo index="0" exp="area" ref3D="1" dr="$A$9:$F$1650" dn="Z_DA966EDD_9F31_4261_B2E2_B8D82EED1A96_.wvu.FilterData" sId="1"/>
    <undo index="0" exp="area" ref3D="1" dr="$A$10:$N$1650" dn="Z_CF543E35_6E4E_45C4_BEB3_5047D0A6ECBE_.wvu.FilterData" sId="1"/>
    <undo index="0" exp="area" ref3D="1" dr="$A$10:$N$1650" dn="Z_C7D33E5D_F302_4F22_8EEA_A9E9167B0941_.wvu.FilterData" sId="1"/>
    <undo index="0" exp="area" ref3D="1" dr="$A$10:$P$1650" dn="Z_C5199657_CA3A_447C_9D05_19734935354B_.wvu.FilterData" sId="1"/>
    <undo index="0" exp="area" ref3D="1" dr="$A$9:$N$1650" dn="Z_C4241D16_C4D7_4392_91A1_929323E705AE_.wvu.FilterData" sId="1"/>
    <undo index="0" exp="area" ref3D="1" dr="$A$9:$F$1650" dn="Z_C1B2C111_FBDA_4179_93C6_E6C1EF77089E_.wvu.FilterData" sId="1"/>
    <undo index="0" exp="area" ref3D="1" dr="$A$10:$N$1650" dn="Z_BCA00BD8_88BE_4596_AC6B_93F0132A7A73_.wvu.FilterData" sId="1"/>
    <undo index="0" exp="area" ref3D="1" dr="$A$9:$F$1650" dn="Z_BC31850A_ABE5_4A99_B186_637F1FBFF8A8_.wvu.FilterData" sId="1"/>
    <undo index="0" exp="area" ref3D="1" dr="$A$10:$N$1650" dn="Z_98F70021_FAF5_4190_9352_B296315F3A82_.wvu.FilterData" sId="1"/>
    <undo index="0" exp="area" ref3D="1" dr="$A$9:$F$1650" dn="Z_9387EA35_C997_4A2D_A3C4_5FC749CCFF93_.wvu.FilterData" sId="1"/>
    <undo index="0" exp="area" ref3D="1" dr="$A$10:$P$1650" dn="Z_91611F5A_8C93_47E1_9BFA_AA9E2C7F0FF0_.wvu.FilterData" sId="1"/>
    <undo index="0" exp="area" ref3D="1" dr="$A$9:$N$1650" dn="Z_89738E42_B141_4593_B4DA_4DBB6AF2CA99_.wvu.FilterData" sId="1"/>
    <undo index="0" exp="area" ref3D="1" dr="$A$10:$N$1650" dn="Z_7FE4F89C_48F5_4C31_BF84_8189547EB022_.wvu.FilterData" sId="1"/>
    <undo index="0" exp="area" ref3D="1" dr="$A$9:$N$1650" dn="Z_6B554D8B_77B9_448C_A84E_14931ECB8650_.wvu.FilterData" sId="1"/>
    <undo index="0" exp="area" ref3D="1" dr="$A$10:$N$1650" dn="Z_68A7376A_4601_407B_99C2_622292D30F4D_.wvu.FilterData" sId="1"/>
    <undo index="0" exp="area" ref3D="1" dr="$A$10:$N$1650" dn="Z_5CB46243_D440_438C_ADDF_B65B9169509C_.wvu.FilterData" sId="1"/>
    <undo index="0" exp="area" ref3D="1" dr="$A$10:$N$1650" dn="Z_50169E25_553D_4636_9171_DA16027EE4A1_.wvu.FilterData" sId="1"/>
    <undo index="0" exp="area" ref3D="1" dr="$A$9:$N$1650" dn="Z_3E7189D0_6805_4CFA_A102_92E097CF83A6_.wvu.FilterData" sId="1"/>
    <undo index="0" exp="area" ref3D="1" dr="$A$9:$N$1650" dn="Z_3B93D014_22A0_40DF_A039_CF931071FA7A_.wvu.FilterData" sId="1"/>
    <undo index="0" exp="area" ref3D="1" dr="$A$9:$F$1650" dn="Z_32DCA8B6_4F90_402D_BE9D_482F735EFBB2_.wvu.FilterData" sId="1"/>
    <undo index="0" exp="area" ref3D="1" dr="$A$10:$N$1650" dn="Z_257100FD_B9DD_4B44_8F95_57F1474F295C_.wvu.FilterData" sId="1"/>
    <undo index="0" exp="area" ref3D="1" dr="$A$9:$N$1650" dn="Z_1C50D9CD_374A_4095_ABE1_CB79B50B2F69_.wvu.FilterData" sId="1"/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font>
          <color rgb="FFFF0000"/>
        </font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font>
          <color rgb="FFFF0000"/>
        </font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center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17" sId="1" ref="A1650:XFD1650" action="deleteRow">
    <undo index="0" exp="ref" v="1" dr="F1650" r="F1652" sId="1"/>
    <undo index="0" exp="area" ref3D="1" dr="$A$9:$N$1650" dn="Z_0A192E1B_BDB1_4B70_A7C0_AB48DC3F0562_.wvu.FilterData" sId="1"/>
    <undo index="0" exp="area" ref3D="1" dr="$A$9:$N$1650" dn="Z_04CBBEEB_F693_4F48_BB41_C56B7E045D01_.wvu.FilterData" sId="1"/>
    <undo index="0" exp="area" ref3D="1" dr="$A$9:$N$1650" dn="Z_027395ED_9F66_46D4_9A7C_92474CF01C1B_.wvu.FilterData" sId="1"/>
    <undo index="0" exp="area" ref3D="1" dr="$A$9:$N$1650" dn="Z_FF3EF6A8_736C_45A3_A8C5_2CF1C56DBEC9_.wvu.FilterData" sId="1"/>
    <undo index="0" exp="area" ref3D="1" dr="$A$9:$N$1650" dn="Z_FF1D0353_73DB_48BD_B073_8AEFD263E676_.wvu.FilterData" sId="1"/>
    <undo index="0" exp="area" ref3D="1" dr="$A$9:$F$1650" dn="Z_FCD2D8AB_3301_4F3D_857D_86E594D264D5_.wvu.FilterData" sId="1"/>
    <undo index="0" exp="area" ref3D="1" dr="$A$9:$N$1650" dn="Z_FBD551CE_1654_45EE_9ED6_7FBB4A4F9685_.wvu.FilterData" sId="1"/>
    <undo index="0" exp="area" ref3D="1" dr="$A$9:$N$1650" dn="Z_FA93D3AF_025E_449C_B516_ABD678D55B04_.wvu.FilterData" sId="1"/>
    <undo index="0" exp="area" ref3D="1" dr="$A$10:$N$1650" dn="Z_F41A2EAF_F07F_4824_A5CF_C11C9E3D3419_.wvu.FilterData" sId="1"/>
    <undo index="0" exp="area" ref3D="1" dr="$A$9:$N$1650" dn="Z_EEFEC4CC_22CE_4D09_A65B_E3AF53E7BD07_.wvu.FilterData" sId="1"/>
    <undo index="0" exp="area" ref3D="1" dr="$A$9:$N$1650" dn="Z_E91A3C82_17DD_4312_B896_C61EFD92BB7B_.wvu.FilterData" sId="1"/>
    <undo index="0" exp="area" ref3D="1" dr="$A$9:$N$1650" dn="Z_E8F57159_0755_4EAA_9AE1_B383A28DC352_.wvu.FilterData" sId="1"/>
    <undo index="0" exp="area" ref3D="1" dr="$A$9:$N$1650" dn="Z_E8B8B0DF_482F_4867_B8DD_DD33AE20E166_.wvu.FilterData" sId="1"/>
    <undo index="0" exp="area" ref3D="1" dr="$A$9:$N$1650" dn="Z_E6A2DBE8_502A_4ACC_82DD_77EAB373BBB4_.wvu.FilterData" sId="1"/>
    <undo index="0" exp="area" ref3D="1" dr="$A$9:$N$1650" dn="Z_E12F0ED7_13A8_44BB_A836_A7FFFC5B807C_.wvu.FilterData" sId="1"/>
    <undo index="0" exp="area" ref3D="1" dr="$A$9:$N$1650" dn="Z_DF047D43_EE79_4159_8E7A_189F258DA7AC_.wvu.FilterData" sId="1"/>
    <undo index="0" exp="area" ref3D="1" dr="$A$9:$N$1650" dn="Z_DE5CD706_7917_4E9C_902B_A63C1369289C_.wvu.FilterData" sId="1"/>
    <undo index="0" exp="area" ref3D="1" dr="$A$9:$N$1650" dn="Z_DC38FB82_9A5E_4091_995E_30BBA3B96C63_.wvu.FilterData" sId="1"/>
    <undo index="0" exp="area" ref3D="1" dr="$A$9:$N$1650" dn="Z_DB17DED7_564D_4848_B953_947744EFEEA3_.wvu.FilterData" sId="1"/>
    <undo index="0" exp="area" ref3D="1" dr="$A$10:$N$1650" dn="Z_D1E4F801_DF7C_4A81_93C7_86AB458C97DD_.wvu.FilterData" sId="1"/>
    <undo index="0" exp="area" ref3D="1" dr="$A$9:$F$1650" dn="Z_D10964A7_BE0D_4510_9860_997EE34A103B_.wvu.FilterData" sId="1"/>
    <undo index="0" exp="area" ref3D="1" dr="$A$9:$N$1650" dn="Z_D060DB0A_B871_407A_96BF_554036882A14_.wvu.FilterData" sId="1"/>
    <undo index="0" exp="area" ref3D="1" dr="$A$9:$N$1650" dn="Z_CD344524_1E06_472C_8A87_25D09D3E69AA_.wvu.FilterData" sId="1"/>
    <undo index="0" exp="area" ref3D="1" dr="$A$9:$N$1650" dn="Z_CA43FFA0_D8DE_486C_923A_FD05FE06C14D_.wvu.FilterData" sId="1"/>
    <undo index="0" exp="area" ref3D="1" dr="$A$9:$F$1650" dn="Z_C11113CE_7A20_4635_A473_39FFDFC0DF41_.wvu.FilterData" sId="1"/>
    <undo index="0" exp="area" ref3D="1" dr="$A$9:$N$1650" dn="Z_C10DF33C_11B4_47D3_8EBF_B66051D9A7A0_.wvu.FilterData" sId="1"/>
    <undo index="0" exp="area" ref3D="1" dr="$A$9:$F$1650" dn="Z_BEB95927_3B4C_44DD_BC4B_32FAE211AA5A_.wvu.FilterData" sId="1"/>
    <undo index="0" exp="area" ref3D="1" dr="$A$9:$F$1650" dn="Z_BC29EA07_833C_4684_B11A_9F6F7648DF17_.wvu.FilterData" sId="1"/>
    <undo index="0" exp="area" ref3D="1" dr="$A$9:$F$1650" dn="Z_B8C50A74_4430_4714_B69D_5E0016E26258_.wvu.FilterData" sId="1"/>
    <undo index="0" exp="area" ref3D="1" dr="$A$9:$N$1650" dn="Z_B792587D_7C9A_4CCB_956D_F493042BF727_.wvu.FilterData" sId="1"/>
    <undo index="0" exp="area" ref3D="1" dr="$A$9:$N$1650" dn="Z_B77126F1_F18A_4CC3_95B2_05BE301C0282_.wvu.FilterData" sId="1"/>
    <undo index="0" exp="area" ref3D="1" dr="$A$9:$N$1650" dn="Z_B44829E8_B869_475C_AC0C_C52348ADF3C1_.wvu.FilterData" sId="1"/>
    <undo index="0" exp="area" ref3D="1" dr="$A$9:$F$1650" dn="Z_B3C08693_68AB_4876_B1B1_89EBC7556563_.wvu.FilterData" sId="1"/>
    <undo index="0" exp="area" ref3D="1" dr="$A$9:$F$1650" dn="Z_B3401C02_8524_4147_AD63_3FD2EE54ED91_.wvu.FilterData" sId="1"/>
    <undo index="0" exp="area" ref3D="1" dr="$A$9:$N$1650" dn="Z_B1C1D5DA_191E_4428_8554_05123A66C738_.wvu.FilterData" sId="1"/>
    <undo index="0" exp="area" ref3D="1" dr="$A$9:$N$1650" dn="Z_ADC0005C_677C_41B2_8525_B7C461FD4A2D_.wvu.FilterData" sId="1"/>
    <undo index="0" exp="area" ref3D="1" dr="$A$9:$N$1650" dn="Z_AC9AF8B7_C815_4420_BF8C_CE10424E3FBC_.wvu.FilterData" sId="1"/>
    <undo index="0" exp="area" ref3D="1" dr="$A$9:$N$1650" dn="Z_AB9E444A_4641_490C_87F5_72C9BE8D653D_.wvu.FilterData" sId="1"/>
    <undo index="0" exp="area" ref3D="1" dr="$A$9:$N$1650" dn="Z_A4FD7A48_48F4_4C0C_A3C9_67269AB3732F_.wvu.FilterData" sId="1"/>
    <undo index="0" exp="area" ref3D="1" dr="$A$9:$N$1650" dn="Z_A46DA323_EE00_47C4_A421_405F80D07070_.wvu.FilterData" sId="1"/>
    <undo index="0" exp="area" ref3D="1" dr="$A$9:$N$1650" dn="Z_A44F6AB4_723C_4F38_8011_57751528F7BA_.wvu.FilterData" sId="1"/>
    <undo index="0" exp="area" ref3D="1" dr="$A$9:$N$1650" dn="Z_A4204BA4_F839_4ADA_941D_7D1C7DB49A61_.wvu.FilterData" sId="1"/>
    <undo index="0" exp="area" ref3D="1" dr="$A$9:$N$1650" dn="Z_A41907D3_A747_4FE5_B529_B90483A993C5_.wvu.FilterData" sId="1"/>
    <undo index="0" exp="area" ref3D="1" dr="$A$9:$N$1650" dn="Z_A2C6FC2B_2FE2_4126_B5E7_6C72C1B16939_.wvu.FilterData" sId="1"/>
    <undo index="0" exp="area" ref3D="1" dr="$A$9:$F$1650" dn="Z_A039AD3A_7BA1_4014_AC4C_14445E36DB97_.wvu.FilterData" sId="1"/>
    <undo index="0" exp="area" ref3D="1" dr="$A$9:$F$1650" dn="Z_9E858B8C_49A0_4388_8136_BCC8EF189065_.wvu.FilterData" sId="1"/>
    <undo index="0" exp="area" ref3D="1" dr="$A$9:$N$1650" dn="Z_9E79D739_EB5D_4BDA_863C_223372E24C15_.wvu.FilterData" sId="1"/>
    <undo index="0" exp="area" ref3D="1" dr="$A$9:$N$1650" dn="Z_968A47CC_A398_4723_9692_72ABDBB04DA7_.wvu.FilterData" sId="1"/>
    <undo index="0" exp="area" ref3D="1" dr="$A$9:$F$1650" dn="Z_95D9597E_9CC5_4A83_8DE2_A84FE725BB00_.wvu.FilterData" sId="1"/>
    <undo index="0" exp="area" ref3D="1" dr="$A$9:$N$1650" dn="Z_928CD297_40B8_4EA6_9D9C_17EDE3B6C837_.wvu.FilterData" sId="1"/>
    <undo index="0" exp="area" ref3D="1" dr="$A$9:$N$1650" dn="Z_91789F8D_09DE_4D9D_A000_E592854F6114_.wvu.FilterData" sId="1"/>
    <undo index="0" exp="area" ref3D="1" dr="$A$9:$N$1650" dn="Z_90949262_5646_45D1_85C5_AB805CA23693_.wvu.FilterData" sId="1"/>
    <undo index="0" exp="area" ref3D="1" dr="$A$9:$F$1650" dn="Z_8E75F827_DF15_4FBC_9052_C70DE1B79685_.wvu.FilterData" sId="1"/>
    <undo index="0" exp="area" ref3D="1" dr="$A$9:$N$1650" dn="Z_8CD87BFA_361F_4571_B45F_75E43EB71BE5_.wvu.FilterData" sId="1"/>
    <undo index="0" exp="area" ref3D="1" dr="$A$9:$N$1650" dn="Z_889F7246_EA60_4B00_9350_C4756046D0CC_.wvu.FilterData" sId="1"/>
    <undo index="0" exp="area" ref3D="1" dr="$A$9:$N$1650" dn="Z_87A5C852_18B1_49C2_B4B9_EDAC72883AEC_.wvu.FilterData" sId="1"/>
    <undo index="0" exp="area" ref3D="1" dr="$A$9:$N$1650" dn="Z_84AC7ED4_718B_40BF_892E_ABD4B28D1805_.wvu.FilterData" sId="1"/>
    <undo index="0" exp="area" ref3D="1" dr="$A$9:$N$1650" dn="Z_83CD57CE_8FE3_447E_AF26_12ADCAC66484_.wvu.FilterData" sId="1"/>
    <undo index="0" exp="area" ref3D="1" dr="$A$9:$N$1650" dn="Z_80831F69_36B0_41BF_B8F6_F8FB6A0CDD29_.wvu.FilterData" sId="1"/>
    <undo index="0" exp="area" ref3D="1" dr="$A$9:$N$1650" dn="Z_7F98A82B_D149_40A2_9590_596335662CA0_.wvu.FilterData" sId="1"/>
    <undo index="0" exp="area" ref3D="1" dr="$A$9:$N$1650" dn="Z_7F423C0B_595E_41F7_BBA7_7CD32E16EFC8_.wvu.FilterData" sId="1"/>
    <undo index="0" exp="area" ref3D="1" dr="$A$9:$N$1650" dn="Z_7E474228_296C_4EC6_A30F_08BB20EAA32E_.wvu.FilterData" sId="1"/>
    <undo index="0" exp="area" ref3D="1" dr="$A$9:$F$1650" dn="Z_7DB97AF0_FA73_4EEA_9119_62D8109B2682_.wvu.FilterData" sId="1"/>
    <undo index="0" exp="area" ref3D="1" dr="$A$9:$N$1650" dn="Z_7D6D141F_F219_4EB9_B8D4_C0AD6225A135_.wvu.FilterData" sId="1"/>
    <undo index="0" exp="area" ref3D="1" dr="$A$9:$N$1650" dn="Z_79B20C5C_C3C9_4372_BD65_6A38CB974027_.wvu.FilterData" sId="1"/>
    <undo index="0" exp="area" ref3D="1" dr="$A$9:$N$1650" dn="Z_774DA42B_0322_4E86_9FE8_8CE9BE46B38A_.wvu.FilterData" sId="1"/>
    <undo index="0" exp="area" ref3D="1" dr="$A$9:$N$1650" dn="Z_70A5F414_5C8E_42AD_8968_50EC3D9A8B66_.wvu.FilterData" sId="1"/>
    <undo index="0" exp="area" ref3D="1" dr="$A$9:$N$1650" dn="Z_6D603C54_4EEE_4009_B94C_E839F3497731_.wvu.FilterData" sId="1"/>
    <undo index="0" exp="area" ref3D="1" dr="$A$9:$N$1650" dn="Z_697DF36B_5199_48BA_9E10_77E54F7CAC1B_.wvu.FilterData" sId="1"/>
    <undo index="0" exp="area" ref3D="1" dr="$A$9:$N$1650" dn="Z_684C1E88_539C_438F_AE30_DD22BE763C07_.wvu.FilterData" sId="1"/>
    <undo index="0" exp="area" ref3D="1" dr="$A$9:$N$1650" dn="Z_670B8ECF_AFB2_48CD_B676_59538CD7D760_.wvu.FilterData" sId="1"/>
    <undo index="0" exp="area" ref3D="1" dr="$A$9:$N$1650" dn="Z_659E8B39_3352_4C1B_9809_054E00B23763_.wvu.FilterData" sId="1"/>
    <undo index="0" exp="area" ref3D="1" dr="$A$9:$N$1650" dn="Z_651BE6E4_D19D_4425_A5BC_86F3B971E3DD_.wvu.FilterData" sId="1"/>
    <undo index="0" exp="area" ref3D="1" dr="$A$9:$N$1650" dn="Z_64E83C65_3338_4D0C_B12D_406444E676D1_.wvu.FilterData" sId="1"/>
    <undo index="0" exp="area" ref3D="1" dr="$A$9:$N$1650" dn="Z_62C383B8_D349_4E46_BDC9_4E7B5C8B333E_.wvu.FilterData" sId="1"/>
    <undo index="0" exp="area" ref3D="1" dr="$A$9:$N$1650" dn="Z_5632C972_4D92_472E_A7D8_15EE39642215_.wvu.FilterData" sId="1"/>
    <undo index="0" exp="area" ref3D="1" dr="$A$9:$N$1650" dn="Z_5425F1F3_5195_406D_8D2D_5CCD9B6CDE00_.wvu.FilterData" sId="1"/>
    <undo index="0" exp="area" ref3D="1" dr="$A$9:$F$1650" dn="Z_540D7044_DAC9_4CB6_BBD0_D14ACBCC1867_.wvu.FilterData" sId="1"/>
    <undo index="0" exp="area" ref3D="1" dr="$A$9:$F$1650" dn="Z_52AAE081_BB88_4DB9_B728_09CE9E47ADCC_.wvu.FilterData" sId="1"/>
    <undo index="0" exp="area" ref3D="1" dr="$A$9:$N$1650" dn="Z_4D34A8B1_8907_4234_A284_20F1D8451D1D_.wvu.FilterData" sId="1"/>
    <undo index="0" exp="area" ref3D="1" dr="$A$9:$N$1650" dn="Z_4CB91982_3F7C_448A_97B1_3335ACE1DAED_.wvu.FilterData" sId="1"/>
    <undo index="0" exp="area" ref3D="1" dr="$A$10:$N$1650" dn="Z_4CA92C53_3E15_44E3_B78C_555BFD958B84_.wvu.FilterData" sId="1"/>
    <undo index="0" exp="area" ref3D="1" dr="$A$9:$N$1650" dn="Z_4BFAFBC9_4DB6_4BF2_8C41_B9B7CAFEDBAB_.wvu.FilterData" sId="1"/>
    <undo index="0" exp="area" ref3D="1" dr="$A$9:$N$1650" dn="Z_48FC805F_0C3A_45D2_B113_A92842CA694E_.wvu.FilterData" sId="1"/>
    <undo index="0" exp="area" ref3D="1" dr="$A$9:$N$1650" dn="Z_45D5E9F6_D555_47FB_A1DA_C327CB67F5E0_.wvu.FilterData" sId="1"/>
    <undo index="0" exp="area" ref3D="1" dr="$A$9:$N$1650" dn="Z_45B8737F_599A_4B0C_A428_06F225AE8CDA_.wvu.FilterData" sId="1"/>
    <undo index="0" exp="area" ref3D="1" dr="$A$9:$N$1650" dn="Z_43E2E054_5516_466B_93DD_89276FC394E0_.wvu.FilterData" sId="1"/>
    <undo index="0" exp="area" ref3D="1" dr="$A$9:$N$1650" dn="Z_416E2C7B_6BE9_4DC3_A85B_1451789FB0BE_.wvu.FilterData" sId="1"/>
    <undo index="0" exp="area" ref3D="1" dr="$A$9:$N$1650" dn="Z_40C3CA13_084E_43EB_88A6_797F57825FEE_.wvu.FilterData" sId="1"/>
    <undo index="0" exp="area" ref3D="1" dr="$A$9:$N$1650" dn="Z_3F522A76_DAE2_4202_A17F_1F1AABEDE22A_.wvu.FilterData" sId="1"/>
    <undo index="0" exp="area" ref3D="1" dr="$A$9:$N$1650" dn="Z_3BA7296D_DE8F_4EC2_A0AC_9982A260E07F_.wvu.FilterData" sId="1"/>
    <undo index="0" exp="area" ref3D="1" dr="$A$9:$N$1650" dn="Z_38DD5E72_034E_4AE6_9FC8_2A9CE8F070E2_.wvu.FilterData" sId="1"/>
    <undo index="0" exp="area" ref3D="1" dr="$A$9:$F$1650" dn="Z_38D47B67_46B3_4586_95FD_C8DFAD14E171_.wvu.FilterData" sId="1"/>
    <undo index="0" exp="area" ref3D="1" dr="$A$9:$N$1650" dn="Z_37A3EB42_C6A9_4BA5_BEEC_C9C5583910C7_.wvu.FilterData" sId="1"/>
    <undo index="0" exp="area" ref3D="1" dr="$A$10:$N$1650" dn="Z_3577A214_E78B_4601_A69B_00FAEA40F129_.wvu.FilterData" sId="1"/>
    <undo index="0" exp="area" ref3D="1" dr="$A$9:$N$1650" dn="Z_3056384E_445B_49F8_B121_D7260FACDF20_.wvu.FilterData" sId="1"/>
    <undo index="0" exp="area" ref3D="1" dr="$A$9:$F$1650" dn="Z_2F416DF5_663E_4C42_A025_78AC86E15DCE_.wvu.FilterData" sId="1"/>
    <undo index="0" exp="area" ref3D="1" dr="$A$9:$F$1650" dn="Z_2EC6C7C2_075F_469E_BA56_C92A242B7429_.wvu.FilterData" sId="1"/>
    <undo index="0" exp="area" ref3D="1" dr="$A$9:$N$1650" dn="Z_24F8D207_8926_4505_853D_9B4F4AD602E6_.wvu.FilterData" sId="1"/>
    <undo index="0" exp="area" ref3D="1" dr="$A$9:$N$1650" dn="Z_23CC82B2_929B_484E_96B6_C8D7CB948376_.wvu.FilterData" sId="1"/>
    <undo index="0" exp="area" ref3D="1" dr="$A$9:$N$1650" dn="Z_22032487_48C5_4254_BFE3_B1CC104B8901_.wvu.FilterData" sId="1"/>
    <undo index="0" exp="area" ref3D="1" dr="$A$9:$F$1650" dn="Z_2103F75D_B237_4C09_A5FE_11C43A6541D9_.wvu.FilterData" sId="1"/>
    <undo index="0" exp="area" ref3D="1" dr="$A$9:$F$1650" dn="Z_2086DEA2_3C15_4AF3_89C2_309B1905E235_.wvu.FilterData" sId="1"/>
    <undo index="0" exp="area" ref3D="1" dr="$A$9:$F$1650" dn="Z_1CD6FB10_1FF7_4A89_AEE7_1C06F4C1BCF3_.wvu.FilterData" sId="1"/>
    <undo index="0" exp="area" ref3D="1" dr="$A$9:$N$1650" dn="Z_1A48C8FA_EF60_46E1_AAFB_7EF940C3ADD3_.wvu.FilterData" sId="1"/>
    <undo index="0" exp="area" ref3D="1" dr="$A$9:$N$1650" dn="Z_1783B947_02E9_477C_8160_71E890344555_.wvu.FilterData" sId="1"/>
    <undo index="0" exp="area" ref3D="1" dr="$A$9:$F$1650" dn="Z_16B353C7_B446_44BC_9BF7_EEDDCF1CDC73_.wvu.FilterData" sId="1"/>
    <undo index="0" exp="area" ref3D="1" dr="$A$9:$N$1650" dn="Z_0DC0876A_D363_445D_8940_67F6A8466847_.wvu.FilterData" sId="1"/>
    <rfmt sheetId="1" xfDxf="1" sqref="A1650:XFD1650" start="0" length="0">
      <dxf>
        <font>
          <color auto="1"/>
        </font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cc rId="0" sId="1" dxf="1">
      <nc r="D1650" t="inlineStr">
        <is>
          <t>должно быть</t>
        </is>
      </nc>
      <ndxf>
        <font>
          <color theme="1"/>
        </font>
        <numFmt numFmtId="30" formatCode="@"/>
        <fill>
          <patternFill patternType="solid">
            <bgColor theme="0"/>
          </patternFill>
        </fill>
        <alignment horizontal="left" readingOrder="0"/>
      </ndxf>
    </rcc>
    <rcc rId="0" sId="1" dxf="1">
      <nc r="E1650" t="inlineStr">
        <is>
          <t>ф.п.</t>
        </is>
      </nc>
      <ndxf>
        <font>
          <color theme="1"/>
        </font>
        <alignment horizontal="left" readingOrder="0"/>
      </ndxf>
    </rcc>
    <rcc rId="0" sId="1" dxf="1">
      <nc r="F1650">
        <f>9342306.3+71999</f>
      </nc>
      <ndxf>
        <font>
          <b/>
          <sz val="14"/>
          <color theme="1"/>
        </font>
        <numFmt numFmtId="165" formatCode="#,##0.0"/>
        <alignment horizontal="center" readingOrder="0"/>
      </ndxf>
    </rcc>
    <rfmt sheetId="1" sqref="G1650" start="0" length="0">
      <dxf>
        <font>
          <sz val="12"/>
          <color auto="1"/>
        </font>
        <numFmt numFmtId="4" formatCode="#,##0.00"/>
        <alignment horizontal="center" readingOrder="0"/>
      </dxf>
    </rfmt>
  </rrc>
  <rrc rId="2318" sId="1" ref="A1650:XFD1650" action="deleteRow">
    <undo index="1" exp="ref" v="1" dr="F1650" r="F1651" sId="1"/>
    <undo index="0" exp="area" ref3D="1" dr="$A$9:$F$1650" dn="Z_063AD19D_AD58_4FCE_A57E_04C95E00AED6_.wvu.FilterData" sId="1"/>
    <undo index="0" exp="area" ref3D="1" dr="$A$10:$P$1650" dn="Z_FF295D92_FD69_41E1_988C_36B3AF2CA753_.wvu.FilterData" sId="1"/>
    <undo index="0" exp="area" ref3D="1" dr="$A$10:$F$1650" dn="Z_FB6BD76D_0D06_4A71_80F1_5B237D3436A1_.wvu.FilterData" sId="1"/>
    <undo index="0" exp="area" ref3D="1" dr="$A$10:$N$1650" dn="Z_F9D3F0F8_7EB7_4897_9CF0_60CF321B3C91_.wvu.FilterData" sId="1"/>
    <undo index="0" exp="area" ref3D="1" dr="$A$10:$F$1650" dn="Z_F5458028_28BD_47CF_9AD3_44F6AAC38EE8_.wvu.FilterData" sId="1"/>
    <undo index="0" exp="area" ref3D="1" dr="$A$10:$P$1650" dn="Z_F37878E9_6676_4E63_AE71_BFD9E251E980_.wvu.FilterData" sId="1"/>
    <undo index="0" exp="area" ref3D="1" dr="$A$10:$P$1650" dn="Z_E217043A_9B07_4F5E_A008_E917CD1E2598_.wvu.FilterData" sId="1"/>
    <undo index="0" exp="area" ref3D="1" dr="$A$10:$P$1650" dn="Z_E077144D_97BF_403C_8463_81A5C036649E_.wvu.FilterData" sId="1"/>
    <undo index="0" exp="area" ref3D="1" dr="$A$10:$P$1650" dn="Z_DF3ABD56_96F7_4DD7_B7C5_9062C1897048_.wvu.FilterData" sId="1"/>
    <undo index="0" exp="area" ref3D="1" dr="$A$10:$N$1650" dn="Z_D3BC4AEA_4BB6_4A29_9F8C_D7ED3DD6F591_.wvu.FilterData" sId="1"/>
    <undo index="0" exp="area" ref3D="1" dr="$A$10:$P$1650" dn="Z_D1021328_3FF8_4658_BD7D_DE568998115C_.wvu.FilterData" sId="1"/>
    <undo index="0" exp="area" ref3D="1" dr="$A$10:$N$1650" dn="Z_CFC9DDBD_B0CD_4C23_B624_B7D9F7D35390_.wvu.FilterData" sId="1"/>
    <undo index="0" exp="area" ref3D="1" dr="$A$9:$F$1650" dn="Z_CAAEC1CE_0CF4_48A5_9243_585D5D9EAAAC_.wvu.FilterData" sId="1"/>
    <undo index="0" exp="area" ref3D="1" dr="$A$9:$F$1650" dn="Z_CA1A0C14_ACB1_4CA6_88C2_58D627343654_.wvu.FilterData" sId="1"/>
    <undo index="0" exp="area" ref3D="1" dr="$A$10:$F$1650" dn="Z_C5C3562D_6D56_4CF6_99FC_D91501D2118D_.wvu.FilterData" sId="1"/>
    <undo index="0" exp="area" ref3D="1" dr="$A$10:$F$1650" dn="Z_C54A87AE_0E13_4D1B_A311_747DFB5C2AC9_.wvu.FilterData" sId="1"/>
    <undo index="0" exp="area" ref3D="1" dr="$A$9:$P$1650" dn="Z_B52569C3_42DD_4682_9659_7354F0A9CE0C_.wvu.FilterData" sId="1"/>
    <undo index="0" exp="area" ref3D="1" dr="$A$10:$N$1650" dn="Z_AD955D1E_A9CB_408C_80A9_ECE8A4542A0F_.wvu.FilterData" sId="1"/>
    <undo index="0" exp="area" ref3D="1" dr="$A$10:$N$1650" dn="Z_ACE8CA8E_0DD7_469E_BAB8_41731E995BD6_.wvu.FilterData" sId="1"/>
    <undo index="0" exp="area" ref3D="1" dr="$A$9:$F$1650" dn="Z_9C37D6F6_8B04_4DEE_8AF8_4405463F5992_.wvu.FilterData" sId="1"/>
    <undo index="0" exp="area" ref3D="1" dr="$A$10:$F$1650" dn="Z_92FB02EC_96F7_4FE5_ABCD_C129BD8233F3_.wvu.FilterData" sId="1"/>
    <undo index="0" exp="area" ref3D="1" dr="$A$10:$F$1650" dn="Z_81CE0CC4_5A0B_498D_8251_306A0D21079D_.wvu.FilterData" sId="1"/>
    <undo index="0" exp="area" ref3D="1" dr="$A$10:$P$1650" dn="Z_8134AB87_5EC8_4082_97BD_B38C1E4784B2_.wvu.FilterData" sId="1"/>
    <undo index="0" exp="area" ref3D="1" dr="$A$9:$N$1650" dn="Z_7F58A429_D91C_405C_9F0B_E3CE36255508_.wvu.FilterData" sId="1"/>
    <undo index="0" exp="area" ref3D="1" dr="$A$10:$F$1650" dn="Z_751DE14B_55A1_45B0_AE2D_CF1E12DCCC93_.wvu.FilterData" sId="1"/>
    <undo index="0" exp="area" ref3D="1" dr="$A$10:$N$1650" dn="Z_7306BFBA_BCAD_4644_B502_4D86EDCF61D9_.wvu.FilterData" sId="1"/>
    <undo index="0" exp="area" ref3D="1" dr="$A$9:$N$1650" dn="Z_70BF8161_C874_45F3_B727_7B6340759CBD_.wvu.FilterData" sId="1"/>
    <undo index="0" exp="area" ref3D="1" dr="$A$10:$F$1650" dn="Z_6C1B9345_356B_423E_8FB7_4C421F35B6A2_.wvu.FilterData" sId="1"/>
    <undo index="0" exp="area" ref3D="1" dr="$A$10:$F$1650" dn="Z_68325542_D0F2_43A5_A1C8_543EB6E51A9E_.wvu.FilterData" sId="1"/>
    <undo index="0" exp="area" ref3D="1" dr="$A$10:$F$1650" dn="Z_61C9A7BE_AD1F_4436_BB39_E22B9EF4E00B_.wvu.FilterData" sId="1"/>
    <undo index="0" exp="area" ref3D="1" dr="$A$10:$N$1650" dn="Z_619D504E_9506_410B_8C66_105FA7A1DA4D_.wvu.FilterData" sId="1"/>
    <undo index="0" exp="area" ref3D="1" dr="$A$10:$P$1650" dn="Z_533F27F8_316D_464B_99CD_C3B3C0DC75DB_.wvu.FilterData" sId="1"/>
    <undo index="0" exp="area" ref3D="1" dr="$A$10:$N$1650" dn="Z_512A9EB9_6D99_4880_8359_5B2C500C08FA_.wvu.FilterData" sId="1"/>
    <undo index="0" exp="area" ref3D="1" dr="$A$10:$P$1650" dn="Z_508A7915_1D02_407B_B0F8_4EFFEDF26CDB_.wvu.FilterData" sId="1"/>
    <undo index="0" exp="area" ref3D="1" dr="$A$10:$P$1650" dn="Z_4E7DED2C_2F9C_4D80_AFE0_B3B78C7BC06D_.wvu.FilterData" sId="1"/>
    <undo index="0" exp="area" ref3D="1" dr="$A$10:$F$1650" dn="Z_45996DC4_F037_458C_9D8B_2208B6D79F59_.wvu.FilterData" sId="1"/>
    <undo index="0" exp="area" ref3D="1" dr="$A$10:$P$1650" dn="Z_3F7979AF_D686_4AE1_BD39_A37A9521D221_.wvu.FilterData" sId="1"/>
    <undo index="0" exp="area" ref3D="1" dr="$A$10:$F$1650" dn="Z_37A87BBF_8F53_4E0C_B7D1_984A8F157C7B_.wvu.FilterData" sId="1"/>
    <undo index="0" exp="area" ref3D="1" dr="$A$9:$F$1650" dn="Z_3781D2A0_05A6_429B_BC20_F79E1CE01FC7_.wvu.FilterData" sId="1"/>
    <undo index="0" exp="area" ref3D="1" dr="$A$10:$P$1650" dn="Z_36121433_AFA1_439B_B87B_A564E16D6BC3_.wvu.FilterData" sId="1"/>
    <undo index="0" exp="area" ref3D="1" dr="$A$10:$N$1650" dn="Z_33FCF604_F7F7_4433_871A_43736DCB6CA5_.wvu.FilterData" sId="1"/>
    <undo index="0" exp="area" ref3D="1" dr="$A$10:$P$1650" dn="Z_2DE214BB_B51D_4314_B215_7ACD9B2B8807_.wvu.FilterData" sId="1"/>
    <undo index="0" exp="area" ref3D="1" dr="$A$10:$F$1650" dn="Z_1A5F4C11_5624_4622_80A8_7588C5FCEE37_.wvu.FilterData" sId="1"/>
    <undo index="0" exp="area" ref3D="1" dr="$A$9:$F$1650" dn="Z_11E16761_BEF9_439A_9F0A_F2673EE84029_.wvu.FilterData" sId="1"/>
    <undo index="0" exp="area" ref3D="1" dr="$A$9:$F$1650" dn="Z_11995B32_7B2C_47A2_B68F_CC90E1E122BC_.wvu.FilterData" sId="1"/>
    <undo index="0" exp="area" ref3D="1" dr="$A$9:$N$1650" dn="Z_0F7BAF89_E5CC_4BED_9D75_0EBDA650F18A_.wvu.FilterData" sId="1"/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font>
          <color theme="1"/>
        </font>
        <fill>
          <patternFill patternType="solid">
            <bgColor theme="0"/>
          </patternFill>
        </fill>
        <alignment horizontal="left" readingOrder="0"/>
      </dxf>
    </rfmt>
    <rcc rId="0" sId="1" dxf="1">
      <nc r="E1650" t="inlineStr">
        <is>
          <t>м.б.</t>
        </is>
      </nc>
      <ndxf>
        <font>
          <color theme="1"/>
        </font>
        <alignment horizontal="left" readingOrder="0"/>
      </ndxf>
    </rcc>
    <rcc rId="0" sId="1" dxf="1">
      <nc r="F1650">
        <f>10206390.3+536701+1057345</f>
      </nc>
      <ndxf>
        <font>
          <b/>
          <sz val="14"/>
          <color theme="1"/>
        </font>
        <numFmt numFmtId="165" formatCode="#,##0.0"/>
        <alignment horizontal="center" readingOrder="0"/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1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font>
          <color rgb="FFFF0000"/>
        </font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font>
          <color rgb="FFFF0000"/>
        </font>
        <alignment horizontal="left" readingOrder="0"/>
      </dxf>
    </rfmt>
    <rcc rId="0" sId="1" dxf="1">
      <nc r="F1650">
        <f>#REF!+#REF!</f>
      </nc>
      <ndxf>
        <font>
          <b/>
          <sz val="14"/>
          <color theme="1"/>
        </font>
        <numFmt numFmtId="165" formatCode="#,##0.0"/>
        <alignment horizontal="center" readingOrder="0"/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numFmt numFmtId="165" formatCode="#,##0.0"/>
      </dxf>
    </rfmt>
  </rrc>
  <rrc rId="232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font>
          <color rgb="FFFF0000"/>
        </font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font>
          <color rgb="FFFF0000"/>
        </font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center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numFmt numFmtId="165" formatCode="#,##0.0"/>
      </dxf>
    </rfmt>
  </rrc>
  <rrc rId="2321" sId="1" ref="A1650:XFD1650" action="deleteRow">
    <rfmt sheetId="1" xfDxf="1" sqref="A1650:XFD1650" start="0" length="0"/>
  </rrc>
  <rrc rId="2322" sId="1" ref="A1650:XFD1650" action="deleteRow">
    <rfmt sheetId="1" xfDxf="1" sqref="A1650:XFD1650" start="0" length="0"/>
  </rrc>
  <rrc rId="2323" sId="1" ref="A1650:XFD1650" action="deleteRow">
    <rfmt sheetId="1" xfDxf="1" sqref="A1650:XFD1650" start="0" length="0"/>
  </rrc>
  <rrc rId="232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Справочно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 t="inlineStr">
        <is>
          <t>сумма</t>
        </is>
      </nc>
      <ndxf>
        <font>
          <b/>
          <sz val="12"/>
          <color auto="1"/>
        </font>
        <fill>
          <patternFill patternType="solid">
            <bgColor theme="0" tint="-0.3499862666707357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sz val="12"/>
          <color auto="1"/>
        </font>
        <fill>
          <patternFill patternType="solid">
            <bgColor theme="0" tint="-0.3499862666707357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 t="inlineStr">
        <is>
          <t>Прилож. 4</t>
        </is>
      </nc>
      <ndxf>
        <font>
          <b/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b/>
          <sz val="12"/>
          <color auto="1"/>
        </font>
        <fill>
          <patternFill patternType="solid">
            <bgColor theme="0" tint="-0.34998626667073579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 t="inlineStr">
        <is>
          <t>отклонение</t>
        </is>
      </nc>
      <ndxf>
        <font>
          <b/>
          <sz val="12"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25" sId="1" ref="A1650:XFD1650" action="deleteRow">
    <undo index="0" exp="ref" v="1" dr="D1650" r="D2140" sId="1"/>
    <undo index="0" exp="ref" v="1" dr="B1650" r="B2140" sId="1"/>
    <rfmt sheetId="1" xfDxf="1" sqref="A1650:XFD1650" start="0" length="0">
      <dxf>
        <font>
          <color auto="1"/>
        </font>
      </dxf>
    </rfmt>
    <rcc rId="0" sId="1" dxf="1">
      <nc r="A1650" t="inlineStr">
        <is>
          <t>0100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B1651+B1653+B1657+B1671+B1677+B1679+B1675+B1669</f>
      </nc>
      <ndxf>
        <font>
          <b/>
          <color theme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D1651+D1653+D1657+D1671+D1677+D1679+D1675+D1669</f>
      </nc>
      <ndxf>
        <font>
          <b/>
          <color theme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b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2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0102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0102                   5510000110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4862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0103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B1651+B1652+B1653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SUM(D1651:D1653)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0103                   5530100110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4617.8999999999996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3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0103                   5530200110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4127.5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3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0103                   5530400110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66067.600000000006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3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SUM(B1651:B1661)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SUM(D1651:D1661)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3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0104                   5520400110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426143.7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3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0104                   5520462010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1695.7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3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0104                   5520462080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3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0104                   5520462090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5798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3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0104                   5520462100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3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0104                   5520462210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3223.6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3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0104                   5520462601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8197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4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0104                   5520462280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200.7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4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0104                   0300200190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500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4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0104                   0300220400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4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0104                   1040900190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77.7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4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0105</t>
        </is>
      </nc>
      <ndxf>
        <font>
          <b/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</f>
      </nc>
      <ndxf>
        <font>
          <b/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D1650">
        <f>D1651</f>
      </nc>
      <ndxf>
        <font>
          <b/>
          <sz val="10"/>
          <color auto="1"/>
          <name val="Times New Roman"/>
          <scheme val="none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b/>
          <color auto="1"/>
        </font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4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0105                   5520451200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D1650">
        <v>1508.5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4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0106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B1651+B1652+B1653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D1651+D1652+D1653</f>
      </nc>
      <ndxf>
        <font>
          <b/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4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0106                   5520400110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F763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93124.5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4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0106                   0300200190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F756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4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0106                   0300220400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F759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5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0107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</f>
      </nc>
      <ndxf>
        <font>
          <b/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font>
          <b/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font>
          <b/>
          <color auto="1"/>
        </font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5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0107                   5620930200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5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0111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5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0111                   5620071000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F767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584594.9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5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SUM(B1651:B1684)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SUM(D1651:D1684)</f>
      </nc>
      <ndxf>
        <font>
          <b/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fill>
          <patternFill patternType="solid">
            <bgColor rgb="FFFFFF00"/>
          </patternFill>
        </fill>
        <alignment horizontal="left" readingOrder="0"/>
      </dxf>
    </rfmt>
  </rrc>
  <rrc rId="235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0113                   0300220400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F794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alignment horizontal="left" readingOrder="0"/>
      </dxf>
    </rfmt>
  </rrc>
  <rrc rId="235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0113                   0500220990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651.5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alignment horizontal="left" readingOrder="0"/>
      </dxf>
    </rfmt>
  </rrc>
  <rrc rId="235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0113                   0600420990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5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0113                   1020120990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5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0113                   1040220990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390.3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6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0113                   1040900190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6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0113                   1040920400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6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0113                   1200720010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F1315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630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6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0113                   1620920990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93.6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6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0113                   1620920010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1695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6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0113                   1900620990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6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0113                   2220700650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2603.1999999999998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6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0113                   2310120990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1559.3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6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0113                   2310183010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6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0113                   2310220010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14740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7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0113                   2310320990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230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7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0113                   2310420990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7073.5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7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0113                   2330120400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7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0113                   2330120990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18243.599999999999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7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0113                   5520400110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F799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57680.5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7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0113                   5610100590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F29+F145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359333.2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7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0113                   5610162100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320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7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0113                   5610200590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43642.9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37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0113                   5610300590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109226.3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7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0113                   5610400650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8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0113                   5610700590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8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0113                   5610762100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8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0113                   5610800590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F803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42793.8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8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0113                   5610900590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69357.2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8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0113                   5610962080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F172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114.4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8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0113                   5611000590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F175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19482.2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8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0113                   5620000190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F35+F179+F808+F772+F838+F1157+F1318+F1518+F685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82690.5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8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0113                   5620900990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F38+F183+F776+F813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40664.6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8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0113                   5620920010</t>
        </is>
      </nc>
      <ndxf>
        <font>
          <sz val="12"/>
          <color auto="1"/>
        </font>
        <numFmt numFmtId="30" formatCode="@"/>
        <alignment horizontal="left" vertical="bottom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89" sId="1" ref="A1650:XFD1650" action="deleteRow">
    <undo index="1" exp="ref" v="1" dr="D1650" r="D2076" sId="1"/>
    <undo index="1" exp="ref" v="1" dr="B1650" r="B2076" sId="1"/>
    <rfmt sheetId="1" xfDxf="1" sqref="A1650:XFD1650" start="0" length="0">
      <dxf>
        <font>
          <color auto="1"/>
        </font>
      </dxf>
    </rfmt>
    <rcc rId="0" sId="1" dxf="1">
      <nc r="A1650" t="inlineStr">
        <is>
          <t>0300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B1651+B1662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D1651+D1662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9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0309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SUM(B1651:B1660)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SUM(D1651:D1660)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9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0309                    2210220990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F192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150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9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0309                    2210320990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F195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6425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9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0309                    2210420990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F198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9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0309                    2220120110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F202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128.30000000000001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9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0309                    2220120990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F204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2654.9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9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0309                    2220220990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F206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9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0309                    2220320990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F210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2724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9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0309                    2220520990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F213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166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9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0309                    2220600590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F216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119275.3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0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0309                    2240520120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F222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2600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0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0314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SUM(B1651:B1655)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SUM(D1651:D1655)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0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0314                    1010320990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F228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431.4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0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0314                    10103S3100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F231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0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0314                    2240120100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F237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2681.4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0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0314                    2240220100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F240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2200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0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0314                    2240320100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F243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10124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07" sId="1" ref="A1650:XFD1650" action="deleteRow">
    <undo index="3" exp="ref" v="1" dr="D1650" r="D2058" sId="1"/>
    <undo index="3" exp="ref" v="1" dr="B1650" r="B2058" sId="1"/>
    <rfmt sheetId="1" xfDxf="1" sqref="A1650:XFD1650" start="0" length="0">
      <dxf>
        <font>
          <color auto="1"/>
        </font>
      </dxf>
    </rfmt>
    <rcc rId="0" sId="1" dxf="1">
      <nc r="A1650" t="inlineStr">
        <is>
          <t>0400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B1651+B1655+B1661+B1665+B1667+B1682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D1651+D1655+D1661+D1665+D1667+D1682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0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0401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B1651+B1652+B1653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D1651+D1652+D1653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0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0401                    0140400590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F846+F1165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11062.2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1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0401                    0140462180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F849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1790.7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1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0401                    1800100590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F1170+F1525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1542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1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0405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SUM(B1651:B1655)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SUM(D1651:D1655)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1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0405                   0800100000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F248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4770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1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0405                   0800200000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F253+F255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3561.9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1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0405                   0800300000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F256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447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1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0405                   0800400000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1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0405                   0800600000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F259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1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0406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SUM(B1651:B1653)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SUM(D1651:D1653)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1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0406                    2230120980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F265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15000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2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0406                    2230263120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F269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20000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2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0406                    22302S3120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F271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2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0408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SUM(B1651:B1651)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SUM(D1651:D1651)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2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 xml:space="preserve">0408                    0920700000 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F1325+F276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148546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2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SUM(B1651:B1664)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SUM(D1651:D1664)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2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0409                    0910100000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F292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940852.8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2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0409                    0910200000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F1335</f>
      </nc>
      <ndxf>
        <font>
          <sz val="12"/>
          <color auto="1"/>
        </font>
        <numFmt numFmtId="165" formatCode="#,##0.0"/>
        <fill>
          <patternFill patternType="solid">
            <bgColor rgb="FFFFFF0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1488694.4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2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0409                    0920100000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F1347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13783.2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2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0409                    0920200000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F1352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13852.7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2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0409                    0920300000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F1357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3085.7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3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0409                    0920400000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F1362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21361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3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0409                    1200480250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F1371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64171.5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3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0409                    1200420990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F1370+F308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216234.3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3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0409                    1200463170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F309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3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12004S3170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F311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3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0409                    1200800000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F1373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3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0409                    1550300000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261400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261400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3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0409                    1610100000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F1379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199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3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0409                    2500100000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F318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437733.5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3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SUM(B1651:B1676)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SUM(D1651:D1676)</f>
      </nc>
      <ndxf>
        <font>
          <b/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font>
          <b/>
          <sz val="12"/>
          <color auto="1"/>
        </font>
        <numFmt numFmtId="4" formatCode="#,##0.00"/>
      </dxf>
    </rfmt>
    <rfmt sheetId="1" sqref="I1650" start="0" length="0">
      <dxf>
        <font>
          <sz val="14"/>
          <color auto="1"/>
        </font>
      </dxf>
    </rfmt>
  </rrc>
  <rrc rId="244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0412                  0200200000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F326+F690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10881.5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4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0412                  0200300000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F329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793.6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4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0412                  0200400000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F332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2721.1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4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0412                  0200500000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F335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36306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4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0412                  0300200000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F694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4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0412                  0500300000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F340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11450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4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0412                  0600100000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F344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16869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4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0412                  0910100000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50" start="0" length="0">
      <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4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0412                  1500200000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F817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1500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rgb="FFFFFF0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4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0412                  1560120990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F703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105449.2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5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0412                  1560220990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F705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5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 xml:space="preserve">0412                  1560600000   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F707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17749.400000000001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5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0412                  2400120990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F1530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749.3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5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0412                  2400163300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F1532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5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24001S3300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F1534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70.7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5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0412                  2400220990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F1537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35.5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5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0412                  2400200590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F855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5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0412                  2400280090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F1539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5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0412                  2400283010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F1541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5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0412                  2400320990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F1544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594.5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6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 xml:space="preserve">0412                  2601020990              </t>
        </is>
      </nc>
      <ndxf>
        <font>
          <sz val="12"/>
          <color theme="1"/>
        </font>
        <numFmt numFmtId="30" formatCode="@"/>
        <fill>
          <patternFill patternType="solid">
            <bgColor rgb="FFC0000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F716</f>
      </nc>
      <ndxf>
        <font>
          <sz val="12"/>
          <color theme="1"/>
        </font>
        <numFmt numFmtId="165" formatCode="#,##0.0"/>
        <fill>
          <patternFill patternType="solid">
            <bgColor rgb="FFC0000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3000</v>
      </nc>
      <ndxf>
        <font>
          <color theme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color theme="1"/>
        </font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6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0412                  2601120990</t>
        </is>
      </nc>
      <ndxf>
        <font>
          <sz val="12"/>
          <color theme="1"/>
        </font>
        <numFmt numFmtId="30" formatCode="@"/>
        <fill>
          <patternFill patternType="solid">
            <bgColor rgb="FFC0000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F719</f>
      </nc>
      <ndxf>
        <font>
          <sz val="12"/>
          <color theme="1"/>
        </font>
        <numFmt numFmtId="165" formatCode="#,##0.0"/>
        <fill>
          <patternFill patternType="solid">
            <bgColor rgb="FFC0000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1000</v>
      </nc>
      <ndxf>
        <font>
          <color theme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color theme="1"/>
        </font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6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 xml:space="preserve">0412                  2600820990           </t>
        </is>
      </nc>
      <ndxf>
        <font>
          <sz val="12"/>
          <color auto="1"/>
        </font>
        <numFmt numFmtId="30" formatCode="@"/>
        <fill>
          <patternFill patternType="solid">
            <bgColor rgb="FFC0000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F712</f>
      </nc>
      <ndxf>
        <font>
          <sz val="12"/>
          <color auto="1"/>
        </font>
        <numFmt numFmtId="165" formatCode="#,##0.0"/>
        <fill>
          <patternFill patternType="solid">
            <bgColor rgb="FFC0000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C0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1400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rgb="FFFFFF0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6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0412                  2620380010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F722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9928.2000000000007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6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0412                  5520400110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F728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81265.5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6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0412                  5520462100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466" sId="1" ref="A1650:XFD1650" action="deleteRow">
    <undo index="5" exp="ref" v="1" dr="D1650" r="D1999" sId="1"/>
    <undo index="5" exp="ref" v="1" dr="B1650" r="B1999" sId="1"/>
    <rfmt sheetId="1" xfDxf="1" sqref="A1650:XFD1650" start="0" length="0">
      <dxf>
        <font>
          <color auto="1"/>
        </font>
      </dxf>
    </rfmt>
    <rcc rId="0" sId="1" dxf="1">
      <nc r="A1650" t="inlineStr">
        <is>
          <t>0500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B1651+B1681+B1704+B1720</f>
      </nc>
      <ndxf>
        <font>
          <b/>
          <sz val="12"/>
          <color theme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D1651+D1681+D1704+D1720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6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SUM(B1651:B1679)</f>
      </nc>
      <ndxf>
        <font>
          <b/>
          <sz val="12"/>
          <color theme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SUM(D1651:D1679)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6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0501                    0200200000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F354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6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0501                    0200400000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F357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800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7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0501                    0200680700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7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0501                    0400362260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7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04003R5150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F1385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289.3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7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0501                    1200163060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F1391+F364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391969.5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7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12001S3060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F1393+F366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3959.3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7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0501                    1200163310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7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12001S3310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7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F1389+F361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35182.400000000001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7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0501                    1200180160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F1395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7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0501                    1200180170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F1397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52931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8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F1400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1250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8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0501                    1200280180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F1403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19430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8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0501                    1200980190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8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0501                    1201163310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F1406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17695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8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12011S3310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F1408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178.7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8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0501                    1510120980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F371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225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8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0501                    1510420990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F1413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1250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8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15105S3030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F1416</f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8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0501                    1510520990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F1418</f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4800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8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0501                     1510580250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F1420</f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18659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9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0501                    1511000000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F373</f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297142.90000000002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9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 xml:space="preserve">0501                    1511100000 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F378</f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9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0501                    1520200000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9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0501                    1520300000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9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0501                    1520620980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9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0501                    1520663500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F385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9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0501                    15206S3500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F387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8571.4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9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SUM(B1651:B1672)</f>
      </nc>
      <ndxf>
        <font>
          <b/>
          <sz val="12"/>
          <color theme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SUM(D1651:D1672)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9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0502                    0200400000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F391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7984.2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49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0502                    0700200000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F395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9200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0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0502                    1100100000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F399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979012.5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0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0502                    1100620990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F1425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0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0502                    1100763060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0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11007S3060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0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0502                    1100780240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F1432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77874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0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0502                    1100563060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F407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270000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06" sId="1" ref="A1650:XFD1650" action="deleteRow">
    <rfmt sheetId="1" xfDxf="1" sqref="A1650:XFD1650" start="0" length="0">
      <dxf>
        <font>
          <color rgb="FFFF0000"/>
        </font>
      </dxf>
    </rfmt>
    <rcc rId="0" sId="1" dxf="1">
      <nc r="A1650" t="inlineStr">
        <is>
          <t>0502                    1100520990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F406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37934.1</v>
      </nc>
      <ndxf>
        <font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color auto="1"/>
        </font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0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11005S3060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F409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125352.9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0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0502                    1100780220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F1428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0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0502                    1100780230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F1430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6663.2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1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0502                    1100780400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F1434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1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0502                    1200800000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1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0502                    1300320980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1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0502                    1400100000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F412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177361.7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1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0502                    1550300000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F419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177093.5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1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0502                    1550500000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F424+F1438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19079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1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0502                    1550700000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1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0502                    5620900990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1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0502                    5620980230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1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0502                    5620980400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2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SUM(B1651:B1665)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SUM(D1651:D1665)</f>
      </nc>
      <ndxf>
        <font>
          <b/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numFmt numFmtId="165" formatCode="#,##0.0"/>
        <alignment horizontal="left" readingOrder="0"/>
      </dxf>
    </rfmt>
  </rrc>
  <rrc rId="252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0503                    1100000000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numFmt numFmtId="165" formatCode="#,##0.0"/>
        <alignment horizontal="left" readingOrder="0"/>
      </dxf>
    </rfmt>
  </rrc>
  <rrc rId="252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0503                    1200100000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theme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numFmt numFmtId="165" formatCode="#,##0.0"/>
        <alignment horizontal="left" readingOrder="0"/>
      </dxf>
    </rfmt>
  </rrc>
  <rrc rId="252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0503                    1200300000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F1445</f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30500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2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0503                    1200400000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F1448+F429</f>
      </nc>
      <ndxf>
        <font>
          <sz val="12"/>
          <color theme="1"/>
        </font>
        <numFmt numFmtId="165" formatCode="#,##0.0"/>
        <fill>
          <patternFill patternType="solid">
            <bgColor rgb="FFFFFF0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461000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2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0503                    1200500000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F1459</f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42000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2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0503                    1200600000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F1464</f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7224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2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0503                    1200700000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F1467+F733+F435</f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13370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2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0503                    1200800000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F1474</f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13000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2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0503                    1201000000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F1176+F432</f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3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0503                    1550500000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3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0503                    2500100000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F439+F1181</f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28816.1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3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0503                    2600400000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3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0503                    2610900000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3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0503                    2620100000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F444</f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130000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3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0503                    2630000000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F823</f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5120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3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0505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SUM(B1651:B1656)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SUM(D1651:D1656)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3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0505                    5520400110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F1487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117630.7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3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0505                    5610500590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F1492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84094.399999999994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3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0505                    0300200190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F1480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4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0505                    0300220400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F1482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4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0505                    0910200590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4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0505                    2600983030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F738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43" sId="1" ref="A1650:XFD1650" action="deleteRow">
    <undo index="7" exp="ref" v="1" dr="D1650" r="D1922" sId="1"/>
    <undo index="7" exp="ref" v="1" dr="B1650" r="B1922" sId="1"/>
    <rfmt sheetId="1" xfDxf="1" sqref="A1650:XFD1650" start="0" length="0">
      <dxf>
        <font>
          <color auto="1"/>
        </font>
      </dxf>
    </rfmt>
    <rcc rId="0" sId="1" dxf="1">
      <nc r="A1650" t="inlineStr">
        <is>
          <t>0600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b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4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0605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SUM(B1651:B1654)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rgb="FFFF0000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SUM(D1651:D1654)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4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 xml:space="preserve">0605                    2000120990                    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F1501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300.60000000000002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4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0605                    2010200590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F862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135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4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0605                    2010220980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F455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4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0605                    2010220990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49" sId="1" ref="A1650:XFD1650" action="deleteRow">
    <undo index="9" exp="ref" v="1" dr="D1650" r="D1916" sId="1"/>
    <undo index="9" exp="ref" v="1" dr="B1650" r="B1916" sId="1"/>
    <rfmt sheetId="1" xfDxf="1" sqref="A1650:XFD1650" start="0" length="0">
      <dxf>
        <font>
          <color auto="1"/>
        </font>
      </dxf>
    </rfmt>
    <rcc rId="0" sId="1" dxf="1">
      <nc r="A1650" t="inlineStr">
        <is>
          <t>0700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B1651+B1671+B1722+B1746+B1697+B1719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sz val="12"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D1651+D1671+D1722+D1746+D1697+D1719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5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SUM(B1651:B1669)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SUM(D1651:D1669)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5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0701                    0110200590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F874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590463.4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5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0701                    0110162240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F870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2332500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5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0701                    0110262240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F877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66499.600000000006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5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0701                    0150200590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F882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19850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5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0701                    0150300590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F886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1500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5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0701                    0160162100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F890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1406.3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5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0701                    0160500590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5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0701                    0170363010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5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01703S3010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6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0701                    0170363500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F463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42420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6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01703S3500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F465+F467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19339.2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6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0701                    0170500590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F895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16850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6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0701                    0170500990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F469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6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01705S3010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F471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17022.599999999999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6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0701                    0170563010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6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0701                    0170600590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F899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41150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6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0701                    0170663010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6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0701                    0170620990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6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0701                    0180600590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F904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131068.7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7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SUM(B1651:B1675)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SUM(D1651:D1675)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7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0702                    0120200590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F911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248719.2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7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0702                    0120300590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F929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19201.2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7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0702                    0120262230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F917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2214493.7999999998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7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0702                    0120263330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F922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72000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7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01202S3330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F925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727.3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7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01202R0970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57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0702                    0150200590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F933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23000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7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0702                    0150300590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F937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1650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7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0702                    0160162100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F941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4465.7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8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0702                    0170120980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F478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8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01702S3500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F482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343552.9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8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0702                    0170163500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F480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801070.4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8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01701S3500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F483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89745.4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8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0702                    0170420990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8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0702                    0170400590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8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01704S3010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F489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68729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8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0702                    0170463010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8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01704R0970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8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01704L0970</t>
        </is>
      </nc>
      <ndxf>
        <font>
          <sz val="12"/>
          <color theme="1"/>
        </font>
        <numFmt numFmtId="30" formatCode="@"/>
        <fill>
          <patternFill patternType="solid">
            <bgColor rgb="FFFFFF0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9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01704S0970</t>
        </is>
      </nc>
      <ndxf>
        <font>
          <sz val="12"/>
          <color theme="1"/>
        </font>
        <numFmt numFmtId="30" formatCode="@"/>
        <fill>
          <patternFill patternType="solid">
            <bgColor rgb="FFFFFF0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9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0702                    0170763010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9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01707S3010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9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0702                    0170700590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F946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9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0702                    0180680020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F951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47948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9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0702                    0400662260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F953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191.8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9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SUM(B1651:B1671)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SUM(D1651:D1671)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9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0703                    0130200590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F960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123029.1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9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0703                    0130262230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F963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30677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59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0703                    0170163500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0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01701S3500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F496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12147.3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0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0703                    0170400590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0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01704S3010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0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0703                    0170700590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0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0703                    1700100590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F1550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153452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0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0703                    1700162100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F1553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0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0703                    1700200590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0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0703                    1700300590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F1556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2563.8000000000002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0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0703                    1700363130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0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17003S3130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1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0703                    1700420990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1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0703                    1700463010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1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0703                    1900620980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1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0703                    1900600590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1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0703                    1900700590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F1190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3802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1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0703                    1900800590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F1193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366343.6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1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0703                    1900872010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F1195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570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1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0703                    1900662100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F1187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1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0705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SUM(B1651:B1652)</f>
      </nc>
      <ndxf>
        <font>
          <b/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SUM(D1651:D1652)</f>
      </nc>
      <ndxf>
        <font>
          <b/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b/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SUM(F1651:F1652)</f>
      </nc>
      <ndxf>
        <font>
          <b/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1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0705                    0300220400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F500+F1506+F782+F1562+F969+F744+F831+F1200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390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2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0705                    1040920400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F505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color rgb="FFFF0000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2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SUM(B1651:B1673)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SUM(D1651:D1673)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2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0707                    0140100590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F975+F1206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1057.2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alignment horizontal="left" readingOrder="0"/>
      </dxf>
    </rfmt>
  </rrc>
  <rrc rId="262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0707                    0140200590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F979+F1209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25605.4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alignment horizontal="left" readingOrder="0"/>
      </dxf>
    </rfmt>
  </rrc>
  <rrc rId="262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0707                    0140220990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F1568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alignment horizontal="left" readingOrder="0"/>
      </dxf>
    </rfmt>
  </rrc>
  <rrc rId="262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0707                    0140300590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F984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alignment horizontal="left" readingOrder="0"/>
      </dxf>
    </rfmt>
  </rrc>
  <rrc rId="262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0707                    0140420990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F990+F1571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3143.3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alignment horizontal="left" readingOrder="0"/>
      </dxf>
    </rfmt>
  </rrc>
  <rrc rId="262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0707                    0140400590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F987+F1212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19946.900000000001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alignment horizontal="left" readingOrder="0"/>
      </dxf>
    </rfmt>
  </rrc>
  <rrc rId="262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0707                    0400662260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F994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4.9000000000000004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alignment horizontal="left" readingOrder="0"/>
      </dxf>
    </rfmt>
  </rrc>
  <rrc rId="262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0707                    0600583010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F1576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  <rfmt sheetId="1" sqref="H1650" start="0" length="0">
      <dxf>
        <alignment horizontal="left" readingOrder="0"/>
      </dxf>
    </rfmt>
  </rrc>
  <rrc rId="263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0707                    1010100590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3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0707                    1010120990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3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0707                    1020300590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3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0707                    1020320990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3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0707                    1020383010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F1581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63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0707                    1030100590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3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0707                    1030120990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3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0707                    1800100590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F1216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3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0707                    1800200590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3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0707                    1800300590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0707                    1800400590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F1220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0707                    1800420990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0707                    1800500590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F1585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31458.7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0707                    1800600590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0707                    1800800590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SUM(B1651:B1685)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SUM(D1651:D1685)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0709                    0120220990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F1002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0709                    0120262500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F1003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4630.6000000000004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0709                    0120320990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F1007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0709                    0120420990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F1009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5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0709                    0120472010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F1011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5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0709                    0120472020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F1013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940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5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0709                    0120572010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F1016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5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0709                    0120572020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F1019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240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5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0709                    0130100590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F1022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1080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5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0709                    0130420990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F1025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51.9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5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0709                    0160500590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F1029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540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5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0709                    0160572010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F1031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5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0709                    0160572020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F1034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5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0709                    0160620990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F1036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1742.8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0709                    0180220990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F1040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0709                    0190100590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F1043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111097.9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0709                    0190200590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F1049</f>
      </nc>
      <ndxf>
        <font>
          <sz val="12"/>
          <color theme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28070.3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0709                    0300200190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F1055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0709                    0300220400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F1057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0709                    0600100000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F1060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13000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0709                    0920520990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0709                    0920500590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F1069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0709                    1010120990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0709                    1010100590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F1073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7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0709                    1020120990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7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0709                    1020100590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F1077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7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0709                    1020220990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7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0709                    1020200590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F1080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7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0709                    1030200590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F1085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7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0709                    1300400590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F1088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1500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7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0709                    1700120990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7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0709                    1700100590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F1094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7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0709                    5520400110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F1099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65530.6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7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0709                    5520462601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F1100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1650">
        <v>20034.400000000001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8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0709                    5610600590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81" sId="1" ref="A1650:XFD1650" action="deleteRow">
    <undo index="11" exp="ref" v="1" dr="D1650" r="D1784" sId="1"/>
    <undo index="11" exp="ref" v="1" dr="B1650" r="B1784" sId="1"/>
    <rfmt sheetId="1" xfDxf="1" sqref="A1650:XFD1650" start="0" length="0">
      <dxf>
        <font>
          <color auto="1"/>
        </font>
      </dxf>
    </rfmt>
    <rcc rId="0" sId="1" dxf="1">
      <nc r="A1650" t="inlineStr">
        <is>
          <t>0800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B1651+B1660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D1651+D1660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8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0801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SUM(B1651:B1658)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0">
        <f>SUM(C1651:C1658)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0">
        <f>SUM(D1651:D1658)</f>
      </nc>
      <ndxf>
        <font>
          <b/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8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0801                    1900120990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8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0801                    1900200590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F1225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176944.2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8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0801                    1900300590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F1228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90556.3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8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0801                    1900400590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F1231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645977.5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8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0801                    1900600590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F1236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8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0801                    1900700590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F1240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67784.7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8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0801                    1900800590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F1244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2294.3000000000002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9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0801                    1900662100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F1237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320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9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SUM(B1651:B1665)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SUM(D1651:D1665)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9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0804                    0400400590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F1255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9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0804                    0300200190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F1249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9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0804                    0300220400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F1251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9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0804                    1010100590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F1260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9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0804                    1020200590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F1264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9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0804                    1030100590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F1268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220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9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0804                    1900500590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9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0804                    1900772020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F1272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0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0804                    1900983100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F1275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54843.8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0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0804                    1900983110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F1277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6290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0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0804                    1900963190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0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19009S3190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0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0804                    1901000590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F1280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26735.3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0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0804                    5520400110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F1287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30084.3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0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0804                    5610600590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07" sId="1" ref="A1650:XFD1650" action="deleteRow">
    <undo index="13" exp="ref" v="1" dr="D1650" r="D1758" sId="1"/>
    <undo index="13" exp="ref" v="1" dr="B1650" r="B1758" sId="1"/>
    <rfmt sheetId="1" xfDxf="1" sqref="A1650:XFD1650" start="0" length="0">
      <dxf>
        <font>
          <color auto="1"/>
        </font>
      </dxf>
    </rfmt>
    <rcc rId="0" sId="1" dxf="1">
      <nc r="A1650" t="inlineStr">
        <is>
          <t>1000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B1651+B1653+B1702+B1708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D1651+D1653+D1702+D1708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0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1001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0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1001                    1600140100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F511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63550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1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SUM(B1651:B1698)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SUM(D1651:D1698)</f>
      </nc>
      <ndxf>
        <font>
          <b/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1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1003                    0130440118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F1111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69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1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1003                    0130362600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1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1003                    0160140116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F1114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1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1003                    0160162120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F1116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1002.9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1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1003                    0160162501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F1119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5034.6000000000004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1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1003                    0160162601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F1123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2826.9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1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1003                    0160170901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F1127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6515.7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1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1003                    0180600590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F1132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1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1003                    0180662190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F1136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190887.8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1003                    0920740119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F518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279.60000000000002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1003                    1400240115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F521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1003                    1400263160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F524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22963.200000000001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14002S3160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F525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159.80000000000001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1003                    1520463050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1003                    1520463030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F530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316332.59999999998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15204S3050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15204S3030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F532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9519.2999999999993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1003                    1530163030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F536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310.7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15301S3030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F538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30.8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3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15301R0200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F540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25670.400000000001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3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15301S0200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F542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663.6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3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1003                    1600240101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F546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3448.2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3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1003                    1600340102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F549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114.2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3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1003                    1620140103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F553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3225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3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1003                    1620240104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F556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1677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3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1003                    1620340105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B1650">
        <f>F559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3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1003                    1620440106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B1650">
        <f>F562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1149.5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3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1003                    1620540107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B1650">
        <f>F565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3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1003                    1620640108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B1650">
        <f>F568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2400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4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1003                    1620740109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B1650">
        <f>F571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225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4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1003                    1620840110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B1650">
        <f>F574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2400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4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1003                    1621040111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rgb="FF000000"/>
          </left>
          <right style="thin">
            <color rgb="FF000000"/>
          </right>
          <top style="thin">
            <color rgb="FF000000"/>
          </top>
          <bottom style="thin">
            <color rgb="FF000000"/>
          </bottom>
        </border>
      </ndxf>
    </rcc>
    <rcc rId="0" sId="1" dxf="1">
      <nc r="B1650">
        <f>F577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8275.7000000000007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4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1003                    1621140112</t>
        </is>
      </nc>
      <ndxf>
        <font>
          <sz val="12"/>
          <color auto="1"/>
        </font>
        <numFmt numFmtId="30" formatCode="@"/>
        <alignment horizontal="left" readingOrder="0"/>
        <border outline="0">
          <right style="thin">
            <color rgb="FF000000"/>
          </right>
          <top style="thin">
            <color rgb="FF000000"/>
          </top>
        </border>
      </ndxf>
    </rcc>
    <rcc rId="0" sId="1" dxf="1">
      <nc r="B1650">
        <f>F580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4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1003                    1621240113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F583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6840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4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1003                    1621440116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F586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4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1003                    1621540117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F589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4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1003                    1621640120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F592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4833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4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1003                    1621780281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F595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4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1003                    1621880510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F598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237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1003                    1700170601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F1590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63.6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1003                    1900640116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F1293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750.5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1003                    1900670601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F1302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762.4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1003                    1900670501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F1300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1678.2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1003                    1900670901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F1295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1003                    1900671901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F1298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671.3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1003                    5610340119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F602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450.8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1003                    5610740119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F604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1003                    5620940119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F1509+F606+F749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1430.1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1004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SUM(B1651:B1655)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SUM(D1651:D1655)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6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1004                    01303R0820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6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1004                    0130362600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F612+F1144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393218.5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6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1004                    01303R082Ф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F615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5389.8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6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1004                    01303R082С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F617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7144.6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6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1004                    0180662500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F1149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90765.9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6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SUM(B1651:B1666)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SUM(D1651:D1666)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6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1006                    0400162260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F620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151.1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6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1006                    0400262260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F622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308.7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6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1006                    0400762260</t>
        </is>
      </nc>
      <ndxf>
        <font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F624</f>
      </nc>
      <ndxf>
        <font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25.1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6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1006                    1610120980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F629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7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F631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3525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7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16101R0270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7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16101S0270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7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1006                    1610163020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7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16101S3020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7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1006                    1610163020</t>
        </is>
      </nc>
      <ndxf>
        <font>
          <sz val="12"/>
          <color theme="1"/>
        </font>
        <numFmt numFmtId="30" formatCode="@"/>
        <fill>
          <patternFill patternType="solid">
            <bgColor rgb="FFFFFF0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F633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17111.7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7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16101S3020</t>
        </is>
      </nc>
      <ndxf>
        <font>
          <sz val="12"/>
          <color theme="1"/>
        </font>
        <numFmt numFmtId="30" formatCode="@"/>
        <fill>
          <patternFill patternType="solid">
            <bgColor rgb="FFFFFF0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F636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7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1006                    1610200590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F1307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252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7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1006                    1610220990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F640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851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7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1006                    1610383020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F643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8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1006                    1610440114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F646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1120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8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1006                    1620000000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F648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82" sId="1" ref="A1650:XFD1650" action="deleteRow">
    <undo index="15" exp="ref" v="1" dr="D1650" r="D1683" sId="1"/>
    <undo index="15" exp="ref" v="1" dr="B1650" r="B1683" sId="1"/>
    <rfmt sheetId="1" xfDxf="1" sqref="A1650:XFD1650" start="0" length="0">
      <dxf>
        <font>
          <color auto="1"/>
        </font>
      </dxf>
    </rfmt>
    <rcc rId="0" sId="1" dxf="1">
      <nc r="A1650" t="inlineStr">
        <is>
          <t>1100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B1656+B1665+B1651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D1656+D1665+D1651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8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1101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SUM(B1651:B1654)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SUM(D1651:D1654)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8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1101                    0400520990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F1596</f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212.8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8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1101                    1010120990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8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1101                    1020220990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F1602</f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113.5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8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1101                    1700120990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F1606</f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6000</v>
      </nc>
      <n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8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1102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SUM(B1651:B1658)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SUM(D1651:D1658)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8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1102                    1700100590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F1612</f>
      </nc>
      <ndxf>
        <font>
          <sz val="12"/>
          <color auto="1"/>
        </font>
        <numFmt numFmtId="165" formatCode="#,##0.0"/>
        <fill>
          <patternFill patternType="solid">
            <bgColor rgb="FFFFFF0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44118.7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9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1102                    1700162100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F1614</f>
      </nc>
      <ndxf>
        <font>
          <sz val="12"/>
          <color auto="1"/>
        </font>
        <numFmt numFmtId="165" formatCode="#,##0.0"/>
        <fill>
          <patternFill patternType="solid">
            <bgColor rgb="FFFFFF0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9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1103                    1700163130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F1616</f>
      </nc>
      <ndxf>
        <font>
          <sz val="12"/>
          <color auto="1"/>
        </font>
        <numFmt numFmtId="165" formatCode="#,##0.0"/>
        <fill>
          <patternFill patternType="solid">
            <bgColor rgb="FFFFFF0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6012.7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9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1102                    17001S3130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F1618</f>
      </nc>
      <ndxf>
        <font>
          <sz val="12"/>
          <color auto="1"/>
        </font>
        <numFmt numFmtId="165" formatCode="#,##0.0"/>
        <fill>
          <patternFill patternType="solid">
            <bgColor rgb="FFFFFF0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182.3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9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1102                    1700200590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1650" start="0" length="0">
      <dxf>
        <font>
          <sz val="12"/>
          <color auto="1"/>
        </font>
        <numFmt numFmtId="165" formatCode="#,##0.0"/>
        <fill>
          <patternFill patternType="solid">
            <bgColor rgb="FFFFFF0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9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1102                    1700300590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F1621</f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11556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95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1102                    17003S3130</t>
        </is>
      </nc>
      <n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F1623</f>
      </nc>
      <ndxf>
        <font>
          <sz val="12"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50.6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9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1102                    1700400000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F655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104981.8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9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1105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SUM(B1651:B1657)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SUM(D1651:D1657)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9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1105                    0300200190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F1629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9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1105                    0300220400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F1631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0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1105                    1700120990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F1634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0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1105                    1700172010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F1636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90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02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1105                    1700500590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F1638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16398.099999999999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0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1105                    5520400110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F1646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30037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0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1105                    5610600590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1650">
        <v>0</v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0" start="0" length="0">
      <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05" sId="1" ref="A1650:XFD1650" action="deleteRow">
    <undo index="17" exp="ref" v="1" dr="D1650" r="D1660" sId="1"/>
    <undo index="17" exp="ref" v="1" dr="B1650" r="B1660" sId="1"/>
    <rfmt sheetId="1" xfDxf="1" sqref="A1650:XFD1650" start="0" length="0">
      <dxf>
        <font>
          <color auto="1"/>
        </font>
      </dxf>
    </rfmt>
    <rcc rId="0" sId="1" dxf="1">
      <nc r="A1650" t="inlineStr">
        <is>
          <t>1200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B1651+B1654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D1651+D1654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06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1202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B1651+B1652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D1651+D1652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07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1202                    2320100590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F667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08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1202                    2320180270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F669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20576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09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1204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B1651+B1652</f>
      </nc>
      <ndxf>
        <font>
          <b/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D1651+D1652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10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1204                    2320120990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F675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25017.4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11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1204                    2320320990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F677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D1650">
        <v>3004.6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12" sId="1" ref="A1650:XFD1650" action="deleteRow">
    <undo index="19" exp="ref" v="1" dr="D1650" r="D1653" sId="1"/>
    <undo index="19" exp="ref" v="1" dr="B1650" r="B1653" sId="1"/>
    <rfmt sheetId="1" xfDxf="1" sqref="A1650:XFD1650" start="0" length="0">
      <dxf>
        <font>
          <color auto="1"/>
        </font>
      </dxf>
    </rfmt>
    <rcc rId="0" sId="1" dxf="1">
      <nc r="A1650" t="inlineStr">
        <is>
          <t>1300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34998626667073579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34998626667073579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13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1301</t>
        </is>
      </nc>
      <ndxf>
        <font>
          <b/>
          <sz val="12"/>
          <color auto="1"/>
        </font>
        <numFmt numFmtId="30" formatCode="@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0">
        <f>B1651</f>
      </nc>
      <ndxf>
        <font>
          <b/>
          <sz val="12"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fill>
          <patternFill patternType="solid">
            <bgColor theme="0" tint="-0.14999847407452621"/>
          </patternFill>
        </fill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0">
        <f>D1651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50" start="0" length="0">
      <dxf>
        <numFmt numFmtId="165" formatCode="#,##0.0"/>
        <fill>
          <patternFill patternType="solid">
            <bgColor theme="0" tint="-0.14999847407452621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14" sId="1" ref="A1650:XFD1650" action="deleteRow">
    <rfmt sheetId="1" xfDxf="1" sqref="A1650:XFD1650" start="0" length="0">
      <dxf>
        <font>
          <color auto="1"/>
        </font>
      </dxf>
    </rfmt>
    <rcc rId="0" sId="1" dxf="1">
      <nc r="A1650" t="inlineStr">
        <is>
          <t>1301                    2100273000</t>
        </is>
      </nc>
      <ndxf>
        <font>
          <sz val="12"/>
          <color auto="1"/>
        </font>
        <numFmt numFmtId="30" formatCode="@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B1650">
        <f>F788</f>
      </nc>
      <ndxf>
        <font>
          <sz val="12"/>
          <color auto="1"/>
        </font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C1650" start="0" length="0">
      <dxf>
        <numFmt numFmtId="165" formatCode="#,##0.0"/>
        <alignment horizontal="righ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 numFmtId="4">
      <nc r="D1650">
        <v>35000</v>
      </nc>
      <ndxf>
        <numFmt numFmtId="165" formatCode="#,##0.0"/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E1650" start="0" length="0">
      <dxf>
        <numFmt numFmtId="165" formatCode="#,##0.0"/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F1650">
        <f>B1650-D1650</f>
      </nc>
      <ndxf>
        <font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15" sId="1" ref="A1650:XFD1650" action="deleteRow">
    <undo index="1" exp="ref" v="1" dr="B1650" r="B1651" sId="1"/>
    <rfmt sheetId="1" xfDxf="1" sqref="A1650:XFD1650" start="0" length="0">
      <dxf>
        <font>
          <color auto="1"/>
        </font>
      </dxf>
    </rfmt>
    <rcc rId="0" sId="1" dxf="1">
      <nc r="A1650" t="inlineStr">
        <is>
          <t>Итого</t>
        </is>
      </nc>
      <ndxf>
        <font>
          <b/>
          <sz val="12"/>
          <color auto="1"/>
        </font>
        <numFmt numFmtId="30" formatCode="@"/>
        <alignment horizontal="left" readingOrder="0"/>
        <border outline="0">
          <left style="medium">
            <color indexed="64"/>
          </left>
          <top style="medium">
            <color indexed="64"/>
          </top>
          <bottom style="medium">
            <color indexed="64"/>
          </bottom>
        </border>
      </ndxf>
    </rcc>
    <rcc rId="0" sId="1" dxf="1">
      <nc r="B1650">
        <f>#REF!+#REF!+#REF!+#REF!+#REF!+#REF!+#REF!+#REF!+#REF!+#REF!+#REF!</f>
      </nc>
      <ndxf>
        <font>
          <b/>
          <sz val="12"/>
          <color auto="1"/>
        </font>
        <numFmt numFmtId="165" formatCode="#,##0.0"/>
        <alignment horizontal="right" readingOrder="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C1650" start="0" length="0">
      <dxf>
        <font>
          <b/>
          <color auto="1"/>
        </font>
        <numFmt numFmtId="165" formatCode="#,##0.0"/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dxf>
    </rfmt>
    <rcc rId="0" sId="1" dxf="1">
      <nc r="D1650">
        <f>#REF!+#REF!+#REF!+#REF!+#REF!+#REF!+#REF!+#REF!+#REF!+#REF!+#REF!</f>
      </nc>
      <ndxf>
        <font>
          <b/>
          <color auto="1"/>
        </font>
        <numFmt numFmtId="165" formatCode="#,##0.0"/>
        <fill>
          <patternFill patternType="solid">
            <bgColor theme="0"/>
          </patternFill>
        </fill>
        <border outline="0">
          <left style="medium">
            <color indexed="64"/>
          </left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ndxf>
    </rcc>
    <rfmt sheetId="1" sqref="E1650" start="0" length="0">
      <dxf>
        <numFmt numFmtId="165" formatCode="#,##0.0"/>
        <alignment horizontal="left" readingOrder="0"/>
        <border outline="0">
          <top style="medium">
            <color indexed="64"/>
          </top>
          <bottom style="medium">
            <color indexed="64"/>
          </bottom>
        </border>
      </dxf>
    </rfmt>
    <rcc rId="0" sId="1" dxf="1">
      <nc r="F1650">
        <f>B1650-D1650</f>
      </nc>
      <ndxf>
        <font>
          <b/>
          <color theme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816" sId="1" ref="A1650:XFD1650" action="deleteRow">
    <undo index="0" exp="area" ref3D="1" dr="$A$7:$F$1650" dn="Z_FDAA87FB_8D10_4BE3_8FD7_3DD29C9D3C32_.wvu.PrintArea" sId="1"/>
    <undo index="0" exp="area" ref3D="1" dr="$A$7:$F$1650" dn="Z_FB3993B4_E74D_484E_83E6_2D2E48358EBC_.wvu.PrintArea" sId="1"/>
    <undo index="0" exp="area" ref3D="1" dr="$A$7:$F$1650" dn="Z_F85AD8D0_07B8_4C06_BE8C_89021594401A_.wvu.PrintArea" sId="1"/>
    <undo index="0" exp="area" ref3D="1" dr="$A$7:$F$1650" dn="Z_F83D905C_D4B0_4992_AECD_B05632FC2675_.wvu.PrintArea" sId="1"/>
    <undo index="0" exp="area" ref3D="1" dr="$A$7:$F$1650" dn="Z_F3C92022_7253_4AFF_88F5_56DDB0D45948_.wvu.PrintArea" sId="1"/>
    <undo index="0" exp="area" ref3D="1" dr="$A$7:$F$1650" dn="Z_D326BC16_B8CA_40F0_B2A8_C510044A36E6_.wvu.PrintArea" sId="1"/>
    <undo index="0" exp="area" ref3D="1" dr="$A$7:$F$1650" dn="Z_AF5F5B9D_82F4_431F_BF91_FBE22B47C4BD_.wvu.PrintArea" sId="1"/>
    <undo index="0" exp="area" ref3D="1" dr="$A$7:$F$1650" dn="Z_684C2C29_728F_4556_A085_1CDF317A169D_.wvu.PrintArea" sId="1"/>
    <undo index="0" exp="area" ref3D="1" dr="$A$7:$F$1650" dn="Z_519E24BA_1A85_4443_B7F2_3FC3EB25201D_.wvu.PrintArea" sId="1"/>
    <undo index="0" exp="area" ref3D="1" dr="$A$7:$F$1650" dn="Z_385D5719_9C04_46DF_A242_5D11233875FF_.wvu.PrintArea" sId="1"/>
    <undo index="0" exp="area" ref3D="1" dr="$A$7:$F$1650" dn="Z_330DC63C_3323_4E82_A81E_3056022167C2_.wvu.PrintArea" sId="1"/>
    <undo index="0" exp="area" ref3D="1" dr="$A$7:$F$1650" dn="Z_28A15B13_755B_46CC_8CEC_1969A9B2EFFB_.wvu.PrintArea" sId="1"/>
    <undo index="0" exp="area" ref3D="1" dr="$A$7:$F$1650" dn="Z_1C191BBA_FD4F_4AB6_AC0E_B524CDEC9EAE_.wvu.PrintArea" sId="1"/>
    <rfmt sheetId="1" xfDxf="1" sqref="A1650:XFD1650" start="0" length="0">
      <dxf>
        <font>
          <color auto="1"/>
        </font>
      </dxf>
    </rfmt>
    <rcc rId="0" sId="1" dxf="1">
      <nc r="A1650" t="inlineStr">
        <is>
          <t>разница</t>
        </is>
      </nc>
      <ndxf>
        <alignment horizontal="right" readingOrder="0"/>
      </ndxf>
    </rcc>
    <rcc rId="0" sId="1" dxf="1">
      <nc r="B1650">
        <f>F1648-#REF!</f>
      </nc>
      <ndxf>
        <numFmt numFmtId="165" formatCode="#,##0.0"/>
        <alignment horizontal="left" readingOrder="0"/>
      </ndxf>
    </rcc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</rrc>
  <rrc rId="281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1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font>
          <color rgb="FF0070C0"/>
        </font>
        <numFmt numFmtId="30" formatCode="@"/>
        <fill>
          <patternFill patternType="solid">
            <bgColor theme="0"/>
          </patternFill>
        </fill>
        <alignment horizontal="left" readingOrder="0"/>
      </dxf>
    </rfmt>
    <rcc rId="0" sId="1" dxf="1">
      <nc r="E1650" t="inlineStr">
        <is>
          <t>должно быть</t>
        </is>
      </nc>
      <ndxf>
        <alignment horizontal="left" readingOrder="0"/>
      </ndxf>
    </rcc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1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2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2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2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2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2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25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26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2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2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2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3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3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3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3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3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35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36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3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3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3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4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4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4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4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4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45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46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4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4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4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5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5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5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5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5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55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56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5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5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5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6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6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6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6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6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65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66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6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6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6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7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7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7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7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7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75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76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7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7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7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8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8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8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8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8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85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86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8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8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8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9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9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9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9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9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95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96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9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9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89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0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0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0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0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0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05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06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0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0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0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1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1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1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1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1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15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16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1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1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1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2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2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2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2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2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25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26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27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28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29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30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31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32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33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  <rrc rId="2934" sId="1" ref="A1650:XFD1650" action="deleteRow">
    <rfmt sheetId="1" xfDxf="1" sqref="A1650:XFD1650" start="0" length="0">
      <dxf>
        <font>
          <color auto="1"/>
        </font>
      </dxf>
    </rfmt>
    <rfmt sheetId="1" sqref="A1650" start="0" length="0">
      <dxf>
        <alignment horizontal="left" readingOrder="0"/>
      </dxf>
    </rfmt>
    <rfmt sheetId="1" sqref="B1650" start="0" length="0">
      <dxf>
        <alignment horizontal="left" readingOrder="0"/>
      </dxf>
    </rfmt>
    <rfmt sheetId="1" sqref="C1650" start="0" length="0">
      <dxf>
        <alignment horizontal="left" readingOrder="0"/>
      </dxf>
    </rfmt>
    <rfmt sheetId="1" sqref="D1650" start="0" length="0">
      <dxf>
        <numFmt numFmtId="30" formatCode="@"/>
        <fill>
          <patternFill patternType="solid">
            <bgColor theme="0"/>
          </patternFill>
        </fill>
        <alignment horizontal="left" readingOrder="0"/>
      </dxf>
    </rfmt>
    <rfmt sheetId="1" sqref="E1650" start="0" length="0">
      <dxf>
        <alignment horizontal="left" readingOrder="0"/>
      </dxf>
    </rfmt>
    <rfmt sheetId="1" sqref="F1650" start="0" length="0">
      <dxf>
        <font>
          <color rgb="FFFF0000"/>
        </font>
        <numFmt numFmtId="165" formatCode="#,##0.0"/>
        <alignment horizontal="right" readingOrder="0"/>
      </dxf>
    </rfmt>
    <rfmt sheetId="1" sqref="G1650" start="0" length="0">
      <dxf>
        <font>
          <sz val="12"/>
          <color auto="1"/>
        </font>
        <numFmt numFmtId="4" formatCode="#,##0.00"/>
        <alignment horizontal="left" readingOrder="0"/>
      </dxf>
    </rfmt>
  </rr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6DCE0BA-3DAA-4D16-9A6C-D74D85939BC4}" action="delete"/>
  <rdn rId="0" localSheetId="1" customView="1" name="Z_36DCE0BA_3DAA_4D16_9A6C_D74D85939BC4_.wvu.PrintArea" hidden="1" oldHidden="1">
    <formula>' внеочер. февраль'!$A$1:$F$1648</formula>
    <oldFormula>' внеочер. февраль'!$A$1:$F$1648</oldFormula>
  </rdn>
  <rdn rId="0" localSheetId="1" customView="1" name="Z_36DCE0BA_3DAA_4D16_9A6C_D74D85939BC4_.wvu.PrintTitles" hidden="1" oldHidden="1">
    <formula>' внеочер. февраль'!$9:$10</formula>
    <oldFormula>' внеочер. февраль'!$9:$10</oldFormula>
  </rdn>
  <rdn rId="0" localSheetId="1" customView="1" name="Z_36DCE0BA_3DAA_4D16_9A6C_D74D85939BC4_.wvu.FilterData" hidden="1" oldHidden="1">
    <formula>' внеочер. февраль'!$A$10:$O$1649</formula>
    <oldFormula>' внеочер. февраль'!$A$10:$O$1649</oldFormula>
  </rdn>
  <rcv guid="{36DCE0BA-3DAA-4D16-9A6C-D74D85939BC4}" action="add"/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38" sId="1">
    <oc r="D4" t="inlineStr">
      <is>
        <t xml:space="preserve">от                   №  </t>
      </is>
    </oc>
    <nc r="D4" t="inlineStr">
      <is>
        <t>от 07.02.2018  № 1057/55вн-28-5</t>
      </is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39" sId="1">
    <oc r="D4" t="inlineStr">
      <is>
        <t>от 07.02.2018  № 1057/55вн-28-5</t>
      </is>
    </oc>
    <nc r="D4" t="inlineStr">
      <is>
        <t>от 07.02.2018  № 1057/55вн-18-5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6AD508C-AEED-43C7-976B-DD33C28CD830}" action="delete"/>
  <rdn rId="0" localSheetId="1" customView="1" name="Z_A6AD508C_AEED_43C7_976B_DD33C28CD830_.wvu.PrintArea" hidden="1" oldHidden="1">
    <formula>' '!$A$6:$F$1533</formula>
    <oldFormula>' '!$A$6:$F$1533</oldFormula>
  </rdn>
  <rdn rId="0" localSheetId="1" customView="1" name="Z_A6AD508C_AEED_43C7_976B_DD33C28CD830_.wvu.PrintTitles" hidden="1" oldHidden="1">
    <formula>' '!$9:$10</formula>
    <oldFormula>' '!$9:$10</oldFormula>
  </rdn>
  <rdn rId="0" localSheetId="1" customView="1" name="Z_A6AD508C_AEED_43C7_976B_DD33C28CD830_.wvu.FilterData" hidden="1" oldHidden="1">
    <formula>' '!$A$10:$F$1534</formula>
    <oldFormula>' '!$A$10:$F$1534</oldFormula>
  </rdn>
  <rcv guid="{A6AD508C-AEED-43C7-976B-DD33C28CD830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2" sId="1" odxf="1" dxf="1">
    <nc r="G217" t="inlineStr">
      <is>
        <t>+2619,5</t>
      </is>
    </nc>
    <odxf>
      <font>
        <sz val="12"/>
        <color rgb="FFB413F5"/>
      </font>
    </odxf>
    <ndxf>
      <font>
        <sz val="12"/>
        <color rgb="FFFFCCFF"/>
      </font>
    </ndxf>
  </rcc>
  <rcc rId="443" sId="1" numFmtId="4">
    <oc r="F217">
      <v>108349.4</v>
    </oc>
    <nc r="F217">
      <f>108349.4+2619.5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" sId="1">
    <nc r="H664" t="inlineStr">
      <is>
        <t>Латышева</t>
      </is>
    </nc>
  </rcc>
  <rcc rId="450" sId="1">
    <nc r="H678" t="inlineStr">
      <is>
        <t>Латышева</t>
      </is>
    </nc>
  </rcc>
  <rcc rId="451" sId="1">
    <nc r="H647" t="inlineStr">
      <is>
        <t>Латышева</t>
      </is>
    </nc>
  </rcc>
  <rcc rId="452" sId="1">
    <nc r="H769" t="inlineStr">
      <is>
        <t>Латышева</t>
      </is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69:H769" start="0" length="2147483647">
    <dxf>
      <font>
        <color rgb="FFB413F5"/>
      </font>
    </dxf>
  </rfmt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78:H678" start="0" length="2147483647">
    <dxf>
      <font>
        <color rgb="FFB413F5"/>
      </font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64:H664" start="0" length="2147483647">
    <dxf>
      <font>
        <color rgb="FFB413F5"/>
      </font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47:H647" start="0" length="2147483647">
    <dxf>
      <font>
        <color rgb="FFB413F5"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4" sId="1" ref="A1103:XFD1103" action="insertRow"/>
  <rcc rId="465" sId="1">
    <nc r="E1103">
      <v>620</v>
    </nc>
  </rcc>
  <rfmt sheetId="1" sqref="E1103" start="0" length="2147483647">
    <dxf>
      <font>
        <color rgb="FFFF0000"/>
      </font>
    </dxf>
  </rfmt>
  <rrc rId="466" sId="1" ref="A1099:XFD1099" action="insertRow"/>
  <rcc rId="467" sId="1">
    <nc r="E1099">
      <v>620</v>
    </nc>
  </rcc>
  <rfmt sheetId="1" sqref="E1099" start="0" length="2147483647">
    <dxf>
      <font>
        <color rgb="FFFF0000"/>
      </font>
    </dxf>
  </rfmt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>
    <nc r="A1104" t="inlineStr">
      <is>
        <t>Субсидии бюджетным учреждениям</t>
      </is>
    </nc>
  </rcc>
  <rcc rId="469" sId="1">
    <nc r="B1104" t="inlineStr">
      <is>
        <t>913</t>
      </is>
    </nc>
  </rcc>
  <rcc rId="470" sId="1">
    <nc r="C1104" t="inlineStr">
      <is>
        <t>0401</t>
      </is>
    </nc>
  </rcc>
  <rcc rId="471" sId="1">
    <nc r="D1104" t="inlineStr">
      <is>
        <t>1800100590</t>
      </is>
    </nc>
  </rcc>
  <rcc rId="472" sId="1">
    <nc r="B1099" t="inlineStr">
      <is>
        <t>913</t>
      </is>
    </nc>
  </rcc>
  <rcc rId="473" sId="1">
    <nc r="C1099" t="inlineStr">
      <is>
        <t>0401</t>
      </is>
    </nc>
  </rcc>
  <rcc rId="474" sId="1">
    <nc r="D1099" t="inlineStr">
      <is>
        <t>0140400590</t>
      </is>
    </nc>
  </rcc>
  <rcc rId="475" sId="1">
    <nc r="A1099" t="inlineStr">
      <is>
        <t xml:space="preserve">Субсидии автономным учреждениям </t>
      </is>
    </nc>
  </rcc>
  <rcv guid="{A6AD508C-AEED-43C7-976B-DD33C28CD830}" action="delete"/>
  <rdn rId="0" localSheetId="1" customView="1" name="Z_A6AD508C_AEED_43C7_976B_DD33C28CD830_.wvu.PrintArea" hidden="1" oldHidden="1">
    <formula>' '!$A$6:$F$1535</formula>
    <oldFormula>' '!$A$6:$F$1535</oldFormula>
  </rdn>
  <rdn rId="0" localSheetId="1" customView="1" name="Z_A6AD508C_AEED_43C7_976B_DD33C28CD830_.wvu.PrintTitles" hidden="1" oldHidden="1">
    <formula>' '!$9:$10</formula>
    <oldFormula>' '!$9:$10</oldFormula>
  </rdn>
  <rdn rId="0" localSheetId="1" customView="1" name="Z_A6AD508C_AEED_43C7_976B_DD33C28CD830_.wvu.FilterData" hidden="1" oldHidden="1">
    <formula>' '!$A$10:$F$1536</formula>
    <oldFormula>' '!$A$10:$F$1536</oldFormula>
  </rdn>
  <rcv guid="{A6AD508C-AEED-43C7-976B-DD33C28CD83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468" start="0" length="0">
    <dxf>
      <numFmt numFmtId="30" formatCode="@"/>
    </dxf>
  </rfmt>
  <rcc rId="3" sId="1">
    <oc r="G468">
      <v>57999</v>
    </oc>
    <nc r="G468" t="inlineStr">
      <is>
        <t>+57 999,0</t>
      </is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099:E1099" start="0" length="2147483647">
    <dxf>
      <font>
        <color rgb="FFFF0000"/>
      </font>
    </dxf>
  </rfmt>
  <rfmt sheetId="1" sqref="A1104:E1104" start="0" length="2147483647">
    <dxf>
      <font>
        <color rgb="FFFF0000"/>
      </font>
    </dxf>
  </rfmt>
  <rcc rId="479" sId="1">
    <oc r="A1104" t="inlineStr">
      <is>
        <t>Субсидии бюджетным учреждениям</t>
      </is>
    </oc>
    <nc r="A1104" t="inlineStr">
      <is>
        <t xml:space="preserve">Субсидии автономным учреждениям </t>
      </is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3" sId="1">
    <nc r="G1306" t="inlineStr">
      <is>
        <t>-237 600</t>
      </is>
    </nc>
  </rcc>
  <rcc rId="574" sId="1" numFmtId="4">
    <oc r="F1306">
      <v>391969.5</v>
    </oc>
    <nc r="F1306">
      <f>391969.5-237600</f>
    </nc>
  </rcc>
  <rcc rId="575" sId="1">
    <nc r="G1308" t="inlineStr">
      <is>
        <t>-2 400</t>
      </is>
    </nc>
  </rcc>
  <rcc rId="576" sId="1" numFmtId="4">
    <oc r="F1308">
      <v>3920</v>
    </oc>
    <nc r="F1308">
      <f>3920-2400</f>
    </nc>
  </rcc>
  <rcv guid="{1CE5A45D-2312-4713-A5DC-016ED1C7E17E}" action="delete"/>
  <rdn rId="0" localSheetId="1" customView="1" name="Z_1CE5A45D_2312_4713_A5DC_016ED1C7E17E_.wvu.PrintArea" hidden="1" oldHidden="1">
    <formula>' '!$A$6:$F$1546</formula>
    <oldFormula>' '!$A$6:$F$1546</oldFormula>
  </rdn>
  <rdn rId="0" localSheetId="1" customView="1" name="Z_1CE5A45D_2312_4713_A5DC_016ED1C7E17E_.wvu.PrintTitles" hidden="1" oldHidden="1">
    <formula>' '!$9:$10</formula>
    <oldFormula>' '!$9:$10</oldFormula>
  </rdn>
  <rdn rId="0" localSheetId="1" customView="1" name="Z_1CE5A45D_2312_4713_A5DC_016ED1C7E17E_.wvu.FilterData" hidden="1" oldHidden="1">
    <formula>' '!$A$10:$F$1547</formula>
    <oldFormula>' '!$A$10:$F$1547</oldFormula>
  </rdn>
  <rcv guid="{1CE5A45D-2312-4713-A5DC-016ED1C7E17E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0" sId="1" ref="A297:XFD297" action="insertRow"/>
  <rrc rId="581" sId="1" ref="A297:XFD297" action="insertRow"/>
  <rcc rId="582" sId="1">
    <nc r="A297" t="inlineStr">
      <is>
        <t>Субсидия на софинансирование расходов муниципальных образований в сфере транспорта и дорожного хозяйства</t>
      </is>
    </nc>
  </rcc>
  <rcc rId="583" sId="1">
    <nc r="B297" t="inlineStr">
      <is>
        <t>902</t>
      </is>
    </nc>
  </rcc>
  <rcc rId="584" sId="1">
    <nc r="B298" t="inlineStr">
      <is>
        <t>902</t>
      </is>
    </nc>
  </rcc>
  <rcc rId="585" sId="1">
    <nc r="C297" t="inlineStr">
      <is>
        <t>0409</t>
      </is>
    </nc>
  </rcc>
  <rcc rId="586" sId="1">
    <nc r="C298" t="inlineStr">
      <is>
        <t>0409</t>
      </is>
    </nc>
  </rcc>
  <rcc rId="587" sId="1">
    <nc r="D297" t="inlineStr">
      <is>
        <t>0910163170</t>
      </is>
    </nc>
  </rcc>
  <rcc rId="588" sId="1">
    <nc r="D298" t="inlineStr">
      <is>
        <t>0910163170</t>
      </is>
    </nc>
  </rcc>
  <rcc rId="589" sId="1">
    <nc r="E298">
      <v>240</v>
    </nc>
  </rcc>
  <rcc rId="590" sId="1">
    <nc r="A298" t="inlineStr">
      <is>
        <t>Иные закупки товаров, работ и услуг для обеспечения государственных (муниципальных) нужд</t>
      </is>
    </nc>
  </rcc>
  <rcc rId="591" sId="1" numFmtId="4">
    <nc r="F298">
      <v>227918.2</v>
    </nc>
  </rcc>
  <rcc rId="592" sId="1" numFmtId="4">
    <nc r="G298">
      <v>227918.2</v>
    </nc>
  </rcc>
  <rfmt sheetId="1" sqref="G298" start="0" length="2147483647">
    <dxf>
      <font>
        <color rgb="FF7030A0"/>
      </font>
    </dxf>
  </rfmt>
  <rfmt sheetId="1" sqref="G298" start="0" length="2147483647">
    <dxf>
      <font>
        <color theme="1"/>
      </font>
    </dxf>
  </rfmt>
  <rfmt sheetId="1" sqref="G298" start="0" length="2147483647">
    <dxf>
      <font>
        <i/>
      </font>
    </dxf>
  </rfmt>
  <rcc rId="593" sId="1">
    <nc r="F297">
      <f>F298</f>
    </nc>
  </rcc>
  <rrc rId="594" sId="1" ref="A299:XFD299" action="insertRow"/>
  <rrc rId="595" sId="1" ref="A299:XFD299" action="insertRow"/>
  <rcc rId="596" sId="1">
    <nc r="A299" t="inlineStr">
      <is>
        <t>Софинансирование субсидии на софинансирование расходов муниципальных образований в сфере транспорта и дорожного хозяйства</t>
      </is>
    </nc>
  </rcc>
  <rcc rId="597" sId="1">
    <nc r="B299" t="inlineStr">
      <is>
        <t>902</t>
      </is>
    </nc>
  </rcc>
  <rcc rId="598" sId="1">
    <nc r="B300" t="inlineStr">
      <is>
        <t>902</t>
      </is>
    </nc>
  </rcc>
  <rcc rId="599" sId="1">
    <nc r="C299" t="inlineStr">
      <is>
        <t>0409</t>
      </is>
    </nc>
  </rcc>
  <rcc rId="600" sId="1">
    <nc r="C300" t="inlineStr">
      <is>
        <t>0409</t>
      </is>
    </nc>
  </rcc>
  <rcc rId="601" sId="1">
    <nc r="D299" t="inlineStr">
      <is>
        <t>09101S3170</t>
      </is>
    </nc>
  </rcc>
  <rcc rId="602" sId="1" numFmtId="4">
    <nc r="F300">
      <v>2302.1999999999998</v>
    </nc>
  </rcc>
  <rcc rId="603" sId="1">
    <nc r="F299">
      <f>F300</f>
    </nc>
  </rcc>
  <rcc rId="604" sId="1">
    <nc r="E300">
      <v>240</v>
    </nc>
  </rcc>
  <rcc rId="605" sId="1">
    <nc r="D300" t="inlineStr">
      <is>
        <t>09101S3170</t>
      </is>
    </nc>
  </rcc>
  <rcc rId="606" sId="1">
    <nc r="A300" t="inlineStr">
      <is>
        <t>Иные закупки товаров, работ и услуг для обеспечения государственных (муниципальных) нужд</t>
      </is>
    </nc>
  </rcc>
  <rcc rId="607" sId="1" numFmtId="4">
    <nc r="G300">
      <v>2302.1999999999998</v>
    </nc>
  </rcc>
  <rcc rId="608" sId="1">
    <oc r="F292">
      <f>F293+F295+F301+F303</f>
    </oc>
    <nc r="F292">
      <f>F293+F295+F301+F303+F297+F299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nc r="G908" t="inlineStr">
      <is>
        <t>1102,9</t>
      </is>
    </nc>
  </rcc>
  <rcc rId="610" sId="1">
    <oc r="F908">
      <f>28866.5+500</f>
    </oc>
    <nc r="F908">
      <f>28866.5+500+1102.9</f>
    </nc>
  </rcc>
  <rcc rId="611" sId="1">
    <nc r="G909" t="inlineStr">
      <is>
        <t>3041,8</t>
      </is>
    </nc>
  </rcc>
  <rcc rId="612" sId="1">
    <oc r="F909">
      <f>90395.2+702</f>
    </oc>
    <nc r="F909">
      <f>90395.2+702+3041.8</f>
    </nc>
  </rcc>
  <rcc rId="613" sId="1" numFmtId="4">
    <nc r="G992">
      <v>1001.6</v>
    </nc>
  </rcc>
  <rfmt sheetId="1" sqref="G992" start="0" length="2147483647">
    <dxf>
      <font>
        <color rgb="FFFFFF00"/>
      </font>
    </dxf>
  </rfmt>
  <rcc rId="614" sId="1">
    <oc r="F992">
      <f>24933.1</f>
    </oc>
    <nc r="F992">
      <f>24933.1+1001.6</f>
    </nc>
  </rcc>
  <rcc rId="615" sId="1" numFmtId="4">
    <nc r="G987">
      <v>3949.7</v>
    </nc>
  </rcc>
  <rfmt sheetId="1" sqref="G987" start="0" length="2147483647">
    <dxf>
      <font>
        <color rgb="FFFFFF00"/>
      </font>
    </dxf>
  </rfmt>
  <rcc rId="616" sId="1">
    <oc r="F987">
      <f>105296.2+1615.3+400</f>
    </oc>
    <nc r="F987">
      <f>105296.2+1615.3+400+3949.7</f>
    </nc>
  </rcc>
  <rcc rId="617" sId="1" numFmtId="4">
    <nc r="G1041">
      <v>1922.1</v>
    </nc>
  </rcc>
  <rfmt sheetId="1" sqref="G1041" start="0" length="2147483647">
    <dxf>
      <font>
        <color rgb="FFFFFF00"/>
      </font>
    </dxf>
  </rfmt>
  <rcc rId="618" sId="1">
    <oc r="F1041">
      <f>64569.5</f>
    </oc>
    <nc r="F1041">
      <f>64569.5+1922.1</f>
    </nc>
  </rcc>
  <rcv guid="{FE5A4646-1F82-478B-AB34-931BAD185684}" action="delete"/>
  <rdn rId="0" localSheetId="1" customView="1" name="Z_FE5A4646_1F82_478B_AB34_931BAD185684_.wvu.PrintArea" hidden="1" oldHidden="1">
    <formula>' '!$A$6:$F$1550</formula>
    <oldFormula>' '!$A$6:$F$1550</oldFormula>
  </rdn>
  <rdn rId="0" localSheetId="1" customView="1" name="Z_FE5A4646_1F82_478B_AB34_931BAD185684_.wvu.PrintTitles" hidden="1" oldHidden="1">
    <formula>' '!$9:$10</formula>
    <oldFormula>' '!$9:$10</oldFormula>
  </rdn>
  <rdn rId="0" localSheetId="1" customView="1" name="Z_FE5A4646_1F82_478B_AB34_931BAD185684_.wvu.FilterData" hidden="1" oldHidden="1">
    <formula>' '!$A$10:$O$1551</formula>
    <oldFormula>' '!$A$10:$O$1551</oldFormula>
  </rdn>
  <rcv guid="{FE5A4646-1F82-478B-AB34-931BAD185684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2" sId="1" ref="A1313:XFD1313" action="insertRow"/>
  <rrc rId="623" sId="1" ref="A1313:XFD1313" action="insertRow"/>
  <rcc rId="624" sId="1">
    <nc r="B1313" t="inlineStr">
      <is>
        <t>915</t>
      </is>
    </nc>
  </rcc>
  <rcc rId="625" sId="1">
    <nc r="B1314" t="inlineStr">
      <is>
        <t>915</t>
      </is>
    </nc>
  </rcc>
  <rcc rId="626" sId="1">
    <nc r="C1313" t="inlineStr">
      <is>
        <t>0501</t>
      </is>
    </nc>
  </rcc>
  <rcc rId="627" sId="1">
    <nc r="C1314" t="inlineStr">
      <is>
        <t>0501</t>
      </is>
    </nc>
  </rcc>
  <rcc rId="628" sId="1">
    <nc r="D1313" t="inlineStr">
      <is>
        <t>1200180160</t>
      </is>
    </nc>
  </rcc>
  <rcc rId="629" sId="1">
    <nc r="D1314" t="inlineStr">
      <is>
        <t>1200180160</t>
      </is>
    </nc>
  </rcc>
  <rcc rId="630" sId="1">
    <nc r="E1314">
      <v>810</v>
    </nc>
  </rcc>
  <rcc rId="631" sId="1">
    <nc r="A1313" t="inlineStr">
      <is>
        <t>Субсидия юридическим лицам на проведение комплексного капитального ремонта многоквартирных домов</t>
      </is>
    </nc>
  </rcc>
  <rcc rId="632" sId="1">
    <nc r="A1314" t="inlineStr">
      <is>
        <t xml:space="preserve">Субсидии юридическим лицам (кроме некоммерческих организаций), индивидуальным предпринимателям, физическим лицам </t>
      </is>
    </nc>
  </rcc>
  <rcc rId="633" sId="1">
    <nc r="G1314" t="inlineStr">
      <is>
        <t>+170 000</t>
      </is>
    </nc>
  </rcc>
  <rcc rId="634" sId="1" numFmtId="4">
    <nc r="F1314">
      <v>170000</v>
    </nc>
  </rcc>
  <rcc rId="635" sId="1">
    <nc r="F1313">
      <f>F1314</f>
    </nc>
  </rcc>
  <rcc rId="636" sId="1">
    <oc r="F1306">
      <f>F1307+F1309+F1311+F1315</f>
    </oc>
    <nc r="F1306">
      <f>F1307+F1309+F1311+F1313+F1315</f>
    </nc>
  </rcc>
  <rcv guid="{1CE5A45D-2312-4713-A5DC-016ED1C7E17E}" action="delete"/>
  <rdn rId="0" localSheetId="1" customView="1" name="Z_1CE5A45D_2312_4713_A5DC_016ED1C7E17E_.wvu.PrintArea" hidden="1" oldHidden="1">
    <formula>' '!$A$6:$F$1552</formula>
    <oldFormula>' '!$A$6:$F$1552</oldFormula>
  </rdn>
  <rdn rId="0" localSheetId="1" customView="1" name="Z_1CE5A45D_2312_4713_A5DC_016ED1C7E17E_.wvu.PrintTitles" hidden="1" oldHidden="1">
    <formula>' '!$9:$10</formula>
    <oldFormula>' '!$9:$10</oldFormula>
  </rdn>
  <rdn rId="0" localSheetId="1" customView="1" name="Z_1CE5A45D_2312_4713_A5DC_016ED1C7E17E_.wvu.FilterData" hidden="1" oldHidden="1">
    <formula>' '!$A$10:$F$1553</formula>
    <oldFormula>' '!$A$10:$F$1553</oldFormula>
  </rdn>
  <rcv guid="{1CE5A45D-2312-4713-A5DC-016ED1C7E17E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640" sheetId="1" oldName="[Приложение 5  по ГРБС 2018.xlsx] " newName="[Приложение 5  по ГРБС 2018.xlsx]январь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1" sId="1">
    <nc r="G1322" t="inlineStr">
      <is>
        <t xml:space="preserve">+15 000,0 </t>
      </is>
    </nc>
  </rcc>
  <rcc rId="642" sId="1">
    <oc r="F1322">
      <f>8350-3920</f>
    </oc>
    <nc r="F1322">
      <f>8350-3920+15000</f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3" sId="1" ref="A1346:XFD1346" action="insertRow"/>
  <rrc rId="644" sId="1" ref="A1346:XFD1346" action="insertRow"/>
  <rcc rId="645" sId="1">
    <nc r="E1347">
      <v>810</v>
    </nc>
  </rcc>
  <rcc rId="646" sId="1">
    <nc r="B1346" t="inlineStr">
      <is>
        <t>915</t>
      </is>
    </nc>
  </rcc>
  <rcc rId="647" sId="1">
    <nc r="B1347" t="inlineStr">
      <is>
        <t>915</t>
      </is>
    </nc>
  </rcc>
  <rcc rId="648" sId="1">
    <nc r="C1346" t="inlineStr">
      <is>
        <t>0502</t>
      </is>
    </nc>
  </rcc>
  <rcc rId="649" sId="1">
    <nc r="C1347" t="inlineStr">
      <is>
        <t>0502</t>
      </is>
    </nc>
  </rcc>
  <rcc rId="650" sId="1">
    <nc r="D1346" t="inlineStr">
      <is>
        <t>1100780220</t>
      </is>
    </nc>
  </rcc>
  <rcc rId="651" sId="1">
    <nc r="D1347" t="inlineStr">
      <is>
        <t>1100780220</t>
      </is>
    </nc>
  </rcc>
  <rcc rId="652" sId="1">
    <nc r="G1347" t="inlineStr">
      <is>
        <t>+6 000,0</t>
      </is>
    </nc>
  </rcc>
  <rcc rId="653" sId="1" numFmtId="4">
    <nc r="F1347">
      <v>6000</v>
    </nc>
  </rcc>
  <rcc rId="654" sId="1">
    <nc r="F1346">
      <f>F1347</f>
    </nc>
  </rcc>
  <rcc rId="655" sId="1" odxf="1" dxf="1">
    <nc r="A1346" t="inlineStr">
      <is>
        <t>Субсидия юридическим лицам (за исключением государственных (муниципальных)учреждений) и индивидуальным предпринимателям на возмещение недополученных (выпадающих) доходов, возникающих в результате незапланированного снижения полезного отпуска тепловой энергии, воды и услуг водоотведения</t>
      </is>
    </nc>
    <odxf>
      <fill>
        <patternFill patternType="solid">
          <bgColor theme="0"/>
        </patternFill>
      </fill>
      <alignment horizontal="left" vertical="top" readingOrder="0"/>
    </odxf>
    <ndxf>
      <fill>
        <patternFill patternType="none">
          <bgColor indexed="65"/>
        </patternFill>
      </fill>
      <alignment horizontal="general" vertical="center" readingOrder="0"/>
    </ndxf>
  </rcc>
  <rcc rId="656" sId="1">
    <nc r="A1347" t="inlineStr">
      <is>
        <t xml:space="preserve">Субсидии юридическим лицам (кроме некоммерческих организаций), индивидуальным предпринимателям, физическим лицам </t>
      </is>
    </nc>
  </rcc>
  <rcv guid="{1CE5A45D-2312-4713-A5DC-016ED1C7E17E}" action="delete"/>
  <rdn rId="0" localSheetId="1" customView="1" name="Z_1CE5A45D_2312_4713_A5DC_016ED1C7E17E_.wvu.PrintArea" hidden="1" oldHidden="1">
    <formula>январь!$A$6:$F$1554</formula>
    <oldFormula>январь!$A$6:$F$1554</oldFormula>
  </rdn>
  <rdn rId="0" localSheetId="1" customView="1" name="Z_1CE5A45D_2312_4713_A5DC_016ED1C7E17E_.wvu.PrintTitles" hidden="1" oldHidden="1">
    <formula>январь!$9:$10</formula>
    <oldFormula>январь!$9:$10</oldFormula>
  </rdn>
  <rdn rId="0" localSheetId="1" customView="1" name="Z_1CE5A45D_2312_4713_A5DC_016ED1C7E17E_.wvu.FilterData" hidden="1" oldHidden="1">
    <formula>январь!$A$10:$F$1555</formula>
    <oldFormula>январь!$A$10:$F$1555</oldFormula>
  </rdn>
  <rcv guid="{1CE5A45D-2312-4713-A5DC-016ED1C7E17E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F1345">
      <f>F1348+F1350</f>
    </oc>
    <nc r="F1345">
      <f>F1346+F1348+F1350</f>
    </nc>
  </rcc>
  <rcv guid="{1CE5A45D-2312-4713-A5DC-016ED1C7E17E}" action="delete"/>
  <rdn rId="0" localSheetId="1" customView="1" name="Z_1CE5A45D_2312_4713_A5DC_016ED1C7E17E_.wvu.PrintArea" hidden="1" oldHidden="1">
    <formula>январь!$A$6:$F$1554</formula>
    <oldFormula>январь!$A$6:$F$1554</oldFormula>
  </rdn>
  <rdn rId="0" localSheetId="1" customView="1" name="Z_1CE5A45D_2312_4713_A5DC_016ED1C7E17E_.wvu.PrintTitles" hidden="1" oldHidden="1">
    <formula>январь!$9:$10</formula>
    <oldFormula>январь!$9:$10</oldFormula>
  </rdn>
  <rdn rId="0" localSheetId="1" customView="1" name="Z_1CE5A45D_2312_4713_A5DC_016ED1C7E17E_.wvu.FilterData" hidden="1" oldHidden="1">
    <formula>январь!$A$10:$F$1555</formula>
    <oldFormula>январь!$A$10:$F$1555</oldFormula>
  </rdn>
  <rcv guid="{1CE5A45D-2312-4713-A5DC-016ED1C7E17E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" sId="1" ref="A1412:XFD1412" action="insertRow"/>
  <rrc rId="665" sId="1" ref="A1412:XFD1412" action="insertRow"/>
  <rrc rId="666" sId="1" ref="A1412:XFD1412" action="insertRow"/>
  <rrc rId="667" sId="1" ref="A1412:XFD1412" action="insertRow"/>
  <rrc rId="668" sId="1" ref="A1412:XFD1412" action="insertRow"/>
  <rrc rId="669" sId="1" ref="A1412:XFD1412" action="insertRow"/>
  <rcc rId="670" sId="1" odxf="1" dxf="1">
    <nc r="A1412" t="inlineStr">
      <is>
        <t>ОХРАНА ОКРУЖАЮЩЕЙ СРЕДЫ</t>
      </is>
    </nc>
    <odxf>
      <font>
        <b val="0"/>
        <sz val="12"/>
        <color theme="1"/>
      </font>
      <fill>
        <patternFill patternType="none">
          <bgColor indexed="65"/>
        </patternFill>
      </fill>
    </odxf>
    <ndxf>
      <font>
        <b/>
        <sz val="12"/>
        <color theme="1"/>
      </font>
      <fill>
        <patternFill patternType="solid">
          <bgColor theme="0"/>
        </patternFill>
      </fill>
    </ndxf>
  </rcc>
  <rfmt sheetId="1" sqref="B1412" start="0" length="0">
    <dxf>
      <font>
        <b/>
        <sz val="12"/>
        <color theme="1"/>
      </font>
      <fill>
        <patternFill patternType="solid">
          <bgColor theme="0"/>
        </patternFill>
      </fill>
    </dxf>
  </rfmt>
  <rcc rId="671" sId="1" odxf="1" dxf="1">
    <nc r="C1412" t="inlineStr">
      <is>
        <t>0600</t>
      </is>
    </nc>
    <odxf>
      <font>
        <b val="0"/>
        <sz val="12"/>
        <color theme="1"/>
      </font>
      <fill>
        <patternFill patternType="none">
          <bgColor indexed="65"/>
        </patternFill>
      </fill>
    </odxf>
    <ndxf>
      <font>
        <b/>
        <sz val="12"/>
        <color theme="1"/>
      </font>
      <fill>
        <patternFill patternType="solid">
          <bgColor theme="0"/>
        </patternFill>
      </fill>
    </ndxf>
  </rcc>
  <rcc rId="672" sId="1" odxf="1" dxf="1">
    <nc r="D1412" t="inlineStr">
      <is>
        <t/>
      </is>
    </nc>
    <odxf>
      <font>
        <b val="0"/>
        <sz val="12"/>
        <color theme="1"/>
      </font>
    </odxf>
    <ndxf>
      <font>
        <b/>
        <sz val="12"/>
        <color theme="1"/>
      </font>
    </ndxf>
  </rcc>
  <rcc rId="673" sId="1" odxf="1" dxf="1">
    <nc r="E1412" t="inlineStr">
      <is>
        <t/>
      </is>
    </nc>
    <odxf>
      <font>
        <b val="0"/>
        <sz val="12"/>
        <color theme="1"/>
      </font>
      <fill>
        <patternFill patternType="none">
          <bgColor indexed="65"/>
        </patternFill>
      </fill>
    </odxf>
    <ndxf>
      <font>
        <b/>
        <sz val="12"/>
        <color theme="1"/>
      </font>
      <fill>
        <patternFill patternType="solid">
          <bgColor theme="0"/>
        </patternFill>
      </fill>
    </ndxf>
  </rcc>
  <rcc rId="674" sId="1" odxf="1" dxf="1">
    <nc r="F1412">
      <f>F1413</f>
    </nc>
    <odxf>
      <font>
        <b val="0"/>
        <sz val="12"/>
        <color auto="1"/>
      </font>
    </odxf>
    <ndxf>
      <font>
        <b/>
        <sz val="12"/>
        <color auto="1"/>
      </font>
    </ndxf>
  </rcc>
  <rcc rId="675" sId="1" odxf="1" dxf="1">
    <nc r="A1413" t="inlineStr">
      <is>
        <t>Другие вопросы в области охраны окружающей среды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1413" start="0" length="0">
    <dxf>
      <fill>
        <patternFill patternType="solid">
          <bgColor theme="0"/>
        </patternFill>
      </fill>
    </dxf>
  </rfmt>
  <rcc rId="676" sId="1" odxf="1" dxf="1">
    <nc r="C1413" t="inlineStr">
      <is>
        <t>0605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77" sId="1">
    <nc r="D1413" t="inlineStr">
      <is>
        <t/>
      </is>
    </nc>
  </rcc>
  <rcc rId="678" sId="1" odxf="1" dxf="1">
    <nc r="E1413" t="inlineStr">
      <is>
        <t/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79" sId="1" odxf="1" dxf="1">
    <nc r="A1414" t="inlineStr">
      <is>
        <t>Муниципальная программа "Охрана окружающей среды на территории городского округа "Город Южно-Сахалинск" на 2015-2020 годы"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1414" start="0" length="0">
    <dxf>
      <fill>
        <patternFill patternType="solid">
          <bgColor theme="0"/>
        </patternFill>
      </fill>
    </dxf>
  </rfmt>
  <rcc rId="680" sId="1" odxf="1" dxf="1">
    <nc r="C1414" t="inlineStr">
      <is>
        <t>0605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81" sId="1">
    <nc r="D1414" t="inlineStr">
      <is>
        <t>2000000000</t>
      </is>
    </nc>
  </rcc>
  <rcc rId="682" sId="1" odxf="1" dxf="1">
    <nc r="E1414" t="inlineStr">
      <is>
        <t/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83" sId="1">
    <nc r="F1414">
      <f>F1415</f>
    </nc>
  </rcc>
  <rcc rId="684" sId="1" odxf="1" dxf="1">
    <nc r="A1415" t="inlineStr">
      <is>
        <t>Создание благоприятной окружающей среды на территории городского округа "Город Южно-Сахалинск"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1415" start="0" length="0">
    <dxf>
      <fill>
        <patternFill patternType="solid">
          <bgColor theme="0"/>
        </patternFill>
      </fill>
    </dxf>
  </rfmt>
  <rcc rId="685" sId="1" odxf="1" dxf="1">
    <nc r="C1415" t="inlineStr">
      <is>
        <t>0605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86" sId="1">
    <nc r="D1415" t="inlineStr">
      <is>
        <t>2000100000</t>
      </is>
    </nc>
  </rcc>
  <rcc rId="687" sId="1" odxf="1" dxf="1">
    <nc r="E1415" t="inlineStr">
      <is>
        <t/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88" sId="1">
    <nc r="F1415">
      <f>SUM(F1416)</f>
    </nc>
  </rcc>
  <rcc rId="689" sId="1" odxf="1" dxf="1">
    <nc r="A1416" t="inlineStr">
      <is>
        <t>Иные обязательства, возникающие при реализации муниципальных программ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1416" start="0" length="0">
    <dxf>
      <fill>
        <patternFill patternType="solid">
          <bgColor theme="0"/>
        </patternFill>
      </fill>
    </dxf>
  </rfmt>
  <rcc rId="690" sId="1" odxf="1" dxf="1">
    <nc r="C1416" t="inlineStr">
      <is>
        <t>0605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91" sId="1">
    <nc r="D1416" t="inlineStr">
      <is>
        <t>2000120990</t>
      </is>
    </nc>
  </rcc>
  <rfmt sheetId="1" sqref="E1416" start="0" length="0">
    <dxf>
      <fill>
        <patternFill patternType="solid">
          <bgColor theme="0"/>
        </patternFill>
      </fill>
    </dxf>
  </rfmt>
  <rcc rId="692" sId="1">
    <nc r="F1416">
      <f>F1417</f>
    </nc>
  </rcc>
  <rcc rId="693" sId="1" odxf="1" dxf="1">
    <nc r="A1417" t="inlineStr">
      <is>
        <t>Иные закупки товаров, работ и услуг для обеспечения государственных (муниципальных) нужд</t>
      </is>
    </nc>
    <odxf>
      <font>
        <sz val="12"/>
        <color theme="1"/>
      </font>
      <fill>
        <patternFill patternType="none">
          <bgColor indexed="65"/>
        </patternFill>
      </fill>
    </odxf>
    <ndxf>
      <font>
        <sz val="12"/>
        <color auto="1"/>
      </font>
      <fill>
        <patternFill patternType="solid">
          <bgColor theme="0"/>
        </patternFill>
      </fill>
    </ndxf>
  </rcc>
  <rfmt sheetId="1" sqref="B1417" start="0" length="0">
    <dxf>
      <fill>
        <patternFill patternType="solid">
          <bgColor theme="0"/>
        </patternFill>
      </fill>
    </dxf>
  </rfmt>
  <rcc rId="694" sId="1" odxf="1" dxf="1">
    <nc r="C1417" t="inlineStr">
      <is>
        <t>0605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95" sId="1">
    <nc r="D1417" t="inlineStr">
      <is>
        <t>2000120990</t>
      </is>
    </nc>
  </rcc>
  <rcc rId="696" sId="1" odxf="1" dxf="1">
    <nc r="E1417">
      <v>240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97" sId="1">
    <nc r="F1417">
      <f>30+270.6</f>
    </nc>
  </rcc>
  <rcc rId="698" sId="1">
    <nc r="G1417" t="inlineStr">
      <is>
        <t xml:space="preserve">  +300,6</t>
      </is>
    </nc>
  </rcc>
  <rcc rId="699" sId="1">
    <nc r="F1413">
      <f>F1414</f>
    </nc>
  </rcc>
  <rcc rId="700" sId="1" odxf="1" dxf="1">
    <nc r="B1412" t="inlineStr">
      <is>
        <t>915</t>
      </is>
    </nc>
    <ndxf>
      <font>
        <b val="0"/>
        <sz val="12"/>
        <color theme="1"/>
      </font>
      <fill>
        <patternFill patternType="none">
          <bgColor indexed="65"/>
        </patternFill>
      </fill>
    </ndxf>
  </rcc>
  <rcc rId="701" sId="1" odxf="1" dxf="1">
    <nc r="B1413" t="inlineStr">
      <is>
        <t>915</t>
      </is>
    </nc>
    <ndxf>
      <fill>
        <patternFill patternType="none">
          <bgColor indexed="65"/>
        </patternFill>
      </fill>
    </ndxf>
  </rcc>
  <rcc rId="702" sId="1" odxf="1" dxf="1">
    <nc r="B1414" t="inlineStr">
      <is>
        <t>915</t>
      </is>
    </nc>
    <ndxf>
      <fill>
        <patternFill patternType="none">
          <bgColor indexed="65"/>
        </patternFill>
      </fill>
    </ndxf>
  </rcc>
  <rcc rId="703" sId="1" odxf="1" dxf="1">
    <nc r="B1415" t="inlineStr">
      <is>
        <t>915</t>
      </is>
    </nc>
    <ndxf>
      <fill>
        <patternFill patternType="none">
          <bgColor indexed="65"/>
        </patternFill>
      </fill>
    </ndxf>
  </rcc>
  <rcc rId="704" sId="1" odxf="1" dxf="1">
    <nc r="B1416" t="inlineStr">
      <is>
        <t>915</t>
      </is>
    </nc>
    <ndxf>
      <fill>
        <patternFill patternType="none">
          <bgColor indexed="65"/>
        </patternFill>
      </fill>
    </ndxf>
  </rcc>
  <rcc rId="705" sId="1" odxf="1" dxf="1">
    <nc r="B1417" t="inlineStr">
      <is>
        <t>915</t>
      </is>
    </nc>
    <ndxf>
      <fill>
        <patternFill patternType="none">
          <bgColor indexed="65"/>
        </patternFill>
      </fill>
    </ndxf>
  </rcc>
  <rfmt sheetId="1" sqref="B1412" start="0" length="2147483647">
    <dxf>
      <font>
        <b/>
      </font>
    </dxf>
  </rfmt>
  <rcv guid="{CF7D559D-0166-4787-B1BA-841D705C6F88}" action="delete"/>
  <rdn rId="0" localSheetId="1" customView="1" name="Z_CF7D559D_0166_4787_B1BA_841D705C6F88_.wvu.PrintArea" hidden="1" oldHidden="1">
    <formula>январь!$A$6:$F$1560</formula>
    <oldFormula>январь!$A$6:$F$1560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январь!$A$10:$O$1561</formula>
    <oldFormula>январь!$A$10:$O$1561</oldFormula>
  </rdn>
  <rcv guid="{CF7D559D-0166-4787-B1BA-841D705C6F88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1">
    <oc r="G1214" t="inlineStr">
      <is>
        <t xml:space="preserve">  +40344,7</t>
      </is>
    </oc>
    <nc r="G1214" t="inlineStr">
      <is>
        <t xml:space="preserve">  +40324,8</t>
      </is>
    </nc>
  </rcc>
  <rcc rId="5" sId="1">
    <oc r="F1214">
      <f>390582-0.1+40344.7</f>
    </oc>
    <nc r="F1214">
      <f>390582-0.1+40324.8</f>
    </nc>
  </rcc>
  <rcv guid="{CF7D559D-0166-4787-B1BA-841D705C6F88}" action="delete"/>
  <rdn rId="0" localSheetId="1" customView="1" name="Z_CF7D559D_0166_4787_B1BA_841D705C6F88_.wvu.PrintArea" hidden="1" oldHidden="1">
    <formula>' '!$A$6:$F$1495</formula>
    <oldFormula>' '!$A$6:$F$1495</oldFormula>
  </rdn>
  <rdn rId="0" localSheetId="1" customView="1" name="Z_CF7D559D_0166_4787_B1BA_841D705C6F88_.wvu.PrintTitles" hidden="1" oldHidden="1">
    <formula>' '!$9:$10</formula>
    <oldFormula>' '!$9:$10</oldFormula>
  </rdn>
  <rdn rId="0" localSheetId="1" customView="1" name="Z_CF7D559D_0166_4787_B1BA_841D705C6F88_.wvu.FilterData" hidden="1" oldHidden="1">
    <formula>' '!$A$10:$O$1496</formula>
    <oldFormula>' '!$A$10:$O$1496</oldFormula>
  </rdn>
  <rcv guid="{CF7D559D-0166-4787-B1BA-841D705C6F88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>
    <oc r="B1787">
      <f>F427</f>
    </oc>
    <nc r="B1787">
      <f>F1417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0" sId="1">
    <oc r="G908" t="inlineStr">
      <is>
        <t>1102,9</t>
      </is>
    </oc>
    <nc r="G908" t="inlineStr">
      <is>
        <t>551,5;  200</t>
      </is>
    </nc>
  </rcc>
  <rcc rId="711" sId="1">
    <oc r="F908">
      <f>28866.5+500+1102.9</f>
    </oc>
    <nc r="F908">
      <f>28866.5+500+551.5+200</f>
    </nc>
  </rcc>
  <rcc rId="712" sId="1">
    <oc r="G909" t="inlineStr">
      <is>
        <t>3041,8</t>
      </is>
    </oc>
    <nc r="G909" t="inlineStr">
      <is>
        <t>1520,9</t>
      </is>
    </nc>
  </rcc>
  <rcc rId="713" sId="1">
    <oc r="F909">
      <f>90395.2+702+3041.8</f>
    </oc>
    <nc r="F909">
      <f>90395.2+702+1520.9</f>
    </nc>
  </rcc>
  <rcc rId="714" sId="1" numFmtId="4">
    <oc r="G987">
      <v>3949.7</v>
    </oc>
    <nc r="G987">
      <v>1974.9</v>
    </nc>
  </rcc>
  <rcc rId="715" sId="1">
    <oc r="F987">
      <f>105296.2+1615.3+400+3949.7</f>
    </oc>
    <nc r="F987">
      <f>105296.2+1615.3+400+1974.9</f>
    </nc>
  </rcc>
  <rcc rId="716" sId="1" numFmtId="4">
    <oc r="G992">
      <v>1001.6</v>
    </oc>
    <nc r="G992">
      <v>500.8</v>
    </nc>
  </rcc>
  <rcc rId="717" sId="1">
    <oc r="F992">
      <f>24933.1+1001.6</f>
    </oc>
    <nc r="F992">
      <f>24933.1+500.8</f>
    </nc>
  </rcc>
  <rcc rId="718" sId="1" numFmtId="4">
    <oc r="G1041">
      <v>1922.1</v>
    </oc>
    <nc r="G1041">
      <v>961.1</v>
    </nc>
  </rcc>
  <rcc rId="719" sId="1">
    <oc r="F1041">
      <f>64569.5+1922.1</f>
    </oc>
    <nc r="F1041">
      <f>64569.5+961.1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0" sId="1">
    <nc r="G1349" t="inlineStr">
      <is>
        <t>+4 550,0</t>
      </is>
    </nc>
  </rcc>
  <rcc rId="721" sId="1" numFmtId="4">
    <oc r="F1349">
      <v>2113.1999999999998</v>
    </oc>
    <nc r="F1349">
      <f>2113.2+4550</f>
    </nc>
  </rcc>
  <rcc rId="722" sId="1">
    <nc r="G1351" t="inlineStr">
      <is>
        <t>+73 000,0</t>
      </is>
    </nc>
  </rcc>
  <rcc rId="723" sId="1">
    <oc r="F1351">
      <f>5000-126</f>
    </oc>
    <nc r="F1351">
      <f>5000-126+73000</f>
    </nc>
  </rcc>
  <rcv guid="{1CE5A45D-2312-4713-A5DC-016ED1C7E17E}" action="delete"/>
  <rdn rId="0" localSheetId="1" customView="1" name="Z_1CE5A45D_2312_4713_A5DC_016ED1C7E17E_.wvu.PrintArea" hidden="1" oldHidden="1">
    <formula>январь!$A$6:$F$1560</formula>
    <oldFormula>январь!$A$6:$F$1560</oldFormula>
  </rdn>
  <rdn rId="0" localSheetId="1" customView="1" name="Z_1CE5A45D_2312_4713_A5DC_016ED1C7E17E_.wvu.PrintTitles" hidden="1" oldHidden="1">
    <formula>январь!$9:$10</formula>
    <oldFormula>январь!$9:$10</oldFormula>
  </rdn>
  <rdn rId="0" localSheetId="1" customView="1" name="Z_1CE5A45D_2312_4713_A5DC_016ED1C7E17E_.wvu.FilterData" hidden="1" oldHidden="1">
    <formula>январь!$A$10:$F$1561</formula>
    <oldFormula>январь!$A$10:$F$1561</oldFormula>
  </rdn>
  <rcv guid="{1CE5A45D-2312-4713-A5DC-016ED1C7E17E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7" sId="1" ref="A1250:XFD1250" action="insertRow"/>
  <rrc rId="728" sId="1" ref="A1250:XFD1250" action="insertRow"/>
  <rrc rId="729" sId="1" ref="A1250:XFD1250" action="insertRow"/>
  <rrc rId="730" sId="1" ref="A1250:XFD1250" action="insertRow"/>
  <rrc rId="731" sId="1" ref="A1250:XFD1250" action="insertRow"/>
  <rrc rId="732" sId="1" ref="A1250:XFD1250" action="insertRow"/>
  <rrc rId="733" sId="1" ref="A1250:XFD1250" action="insertRow"/>
  <rrc rId="734" sId="1" ref="A1250:XFD1250" action="insertRow"/>
  <rrc rId="735" sId="1" ref="A1250:XFD1250" action="insertRow"/>
  <rrc rId="736" sId="1" ref="A1250:XFD1250" action="insertRow"/>
  <rrc rId="737" sId="1" ref="A1250:XFD1250" action="insertRow"/>
  <rrc rId="738" sId="1" ref="A1250:XFD1250" action="insertRow"/>
  <rrc rId="739" sId="1" ref="A1250:XFD1250" action="insertRow"/>
  <rrc rId="740" sId="1" ref="A1250:XFD1250" action="insertRow"/>
  <rrc rId="741" sId="1" ref="A1250:XFD1250" action="insertRow"/>
  <rrc rId="742" sId="1" ref="A1250:XFD1250" action="insertRow"/>
  <rrc rId="743" sId="1" ref="A1250:XFD1250" action="insertRow"/>
  <rrc rId="744" sId="1" ref="A1250:XFD1250" action="insertRow"/>
  <rcc rId="745" sId="1" odxf="1" dxf="1">
    <nc r="A1250" t="inlineStr">
      <is>
        <t>Транспорт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46" sId="1" odxf="1" dxf="1">
    <nc r="B1250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47" sId="1" odxf="1" dxf="1">
    <nc r="C1250" t="inlineStr">
      <is>
        <t>0408</t>
      </is>
    </nc>
    <odxf>
      <font>
        <b/>
        <sz val="12"/>
        <color theme="1"/>
      </font>
    </odxf>
    <ndxf>
      <font>
        <b val="0"/>
        <sz val="12"/>
        <color auto="1"/>
      </font>
    </ndxf>
  </rcc>
  <rfmt sheetId="1" sqref="D1250" start="0" length="0">
    <dxf>
      <font>
        <b val="0"/>
        <sz val="12"/>
        <color auto="1"/>
      </font>
      <alignment vertical="center" readingOrder="0"/>
    </dxf>
  </rfmt>
  <rfmt sheetId="1" sqref="E1250" start="0" length="0">
    <dxf>
      <font>
        <b val="0"/>
        <sz val="12"/>
        <color auto="1"/>
      </font>
      <alignment vertical="center" readingOrder="0"/>
    </dxf>
  </rfmt>
  <rcc rId="748" sId="1" odxf="1" dxf="1">
    <nc r="F1250">
      <f>F1251</f>
    </nc>
    <odxf>
      <font>
        <b/>
        <sz val="12"/>
        <color auto="1"/>
      </font>
      <alignment vertical="top" readingOrder="0"/>
    </odxf>
    <ndxf>
      <font>
        <b val="0"/>
        <sz val="12"/>
        <color auto="1"/>
      </font>
      <alignment vertical="center" readingOrder="0"/>
    </ndxf>
  </rcc>
  <rcc rId="749" sId="1" odxf="1" dxf="1">
    <nc r="A1251" t="inlineStr">
      <is>
        <t>Муниципальная программа "Развитие транспортной инфраструктуры и дорожного хозяйства городского округа "Город Южно-Сахалинск" на 2015-2020 годы"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50" sId="1" odxf="1" dxf="1">
    <nc r="B1251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51" sId="1" odxf="1" dxf="1">
    <nc r="C1251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52" sId="1" odxf="1" dxf="1">
    <nc r="D1251" t="inlineStr">
      <is>
        <t>0900000000</t>
      </is>
    </nc>
    <odxf>
      <font>
        <b/>
        <sz val="12"/>
        <color theme="1"/>
      </font>
    </odxf>
    <ndxf>
      <font>
        <b val="0"/>
        <sz val="12"/>
        <color auto="1"/>
      </font>
    </ndxf>
  </rcc>
  <rfmt sheetId="1" sqref="E1251" start="0" length="0">
    <dxf>
      <font>
        <b val="0"/>
        <sz val="12"/>
        <color auto="1"/>
      </font>
      <fill>
        <patternFill patternType="none">
          <bgColor indexed="65"/>
        </patternFill>
      </fill>
    </dxf>
  </rfmt>
  <rcc rId="753" sId="1" odxf="1" dxf="1">
    <nc r="F1251">
      <f>F1252</f>
    </nc>
    <odxf>
      <font>
        <b/>
        <sz val="12"/>
        <color auto="1"/>
      </font>
    </odxf>
    <ndxf>
      <font>
        <b val="0"/>
        <sz val="12"/>
        <color auto="1"/>
      </font>
    </ndxf>
  </rcc>
  <rcc rId="754" sId="1" odxf="1" dxf="1">
    <nc r="A1252" t="inlineStr">
      <is>
        <t>Подпрограмма "Повышение безопасности дорожного движения на территории городского округа "Город Южно-Сахалинск" на период 2015-2020 годов"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55" sId="1" odxf="1" dxf="1">
    <nc r="B1252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56" sId="1" odxf="1" dxf="1">
    <nc r="C1252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57" sId="1" odxf="1" dxf="1">
    <nc r="D1252" t="inlineStr">
      <is>
        <t>0920000000</t>
      </is>
    </nc>
    <odxf>
      <font>
        <b/>
        <sz val="12"/>
        <color theme="1"/>
      </font>
    </odxf>
    <ndxf>
      <font>
        <b val="0"/>
        <sz val="12"/>
        <color auto="1"/>
      </font>
    </ndxf>
  </rcc>
  <rfmt sheetId="1" sqref="E1252" start="0" length="0">
    <dxf>
      <font>
        <b val="0"/>
        <sz val="12"/>
        <color auto="1"/>
      </font>
      <fill>
        <patternFill patternType="none">
          <bgColor indexed="65"/>
        </patternFill>
      </fill>
    </dxf>
  </rfmt>
  <rcc rId="758" sId="1" odxf="1" dxf="1">
    <nc r="F1252">
      <f>F1253</f>
    </nc>
    <odxf>
      <font>
        <b/>
        <sz val="12"/>
        <color auto="1"/>
      </font>
    </odxf>
    <ndxf>
      <font>
        <b val="0"/>
        <sz val="12"/>
        <color auto="1"/>
      </font>
    </ndxf>
  </rcc>
  <rcc rId="759" sId="1" odxf="1" dxf="1">
    <nc r="A1253" t="inlineStr">
      <is>
        <t>Повышение безопасности пассажирских перевозок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60" sId="1" odxf="1" dxf="1">
    <nc r="B1253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61" sId="1" odxf="1" dxf="1">
    <nc r="C1253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62" sId="1" odxf="1" dxf="1">
    <nc r="D1253" t="inlineStr">
      <is>
        <t>0920700000</t>
      </is>
    </nc>
    <odxf>
      <font>
        <b/>
        <sz val="12"/>
        <color theme="1"/>
      </font>
    </odxf>
    <ndxf>
      <font>
        <b val="0"/>
        <sz val="12"/>
        <color auto="1"/>
      </font>
    </ndxf>
  </rcc>
  <rfmt sheetId="1" sqref="E1253" start="0" length="0">
    <dxf>
      <font>
        <b val="0"/>
        <sz val="12"/>
        <color auto="1"/>
      </font>
      <fill>
        <patternFill patternType="none">
          <bgColor indexed="65"/>
        </patternFill>
      </fill>
    </dxf>
  </rfmt>
  <rfmt sheetId="1" sqref="F1253" start="0" length="0">
    <dxf>
      <font>
        <b val="0"/>
        <sz val="12"/>
        <color auto="1"/>
      </font>
    </dxf>
  </rfmt>
  <rcc rId="763" sId="1" odxf="1" dxf="1">
    <nc r="A1254" t="inlineStr">
      <is>
        <t>Расходы на обеспечение деятельности (оказание услуг) муниципальных учреждений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64" sId="1" odxf="1" dxf="1">
    <nc r="B1254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65" sId="1" odxf="1" dxf="1">
    <nc r="C1254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66" sId="1" odxf="1" dxf="1">
    <nc r="D1254" t="inlineStr">
      <is>
        <t>0920700590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fmt sheetId="1" sqref="E1254" start="0" length="0">
    <dxf>
      <font>
        <b val="0"/>
        <sz val="12"/>
        <color auto="1"/>
      </font>
      <fill>
        <patternFill patternType="none">
          <bgColor indexed="65"/>
        </patternFill>
      </fill>
    </dxf>
  </rfmt>
  <rcc rId="767" sId="1" odxf="1" dxf="1">
    <nc r="F1254">
      <f>F1255+F1256+F1257</f>
    </nc>
    <odxf>
      <font>
        <b/>
        <sz val="12"/>
        <color auto="1"/>
      </font>
    </odxf>
    <ndxf>
      <font>
        <b val="0"/>
        <sz val="12"/>
        <color auto="1"/>
      </font>
    </ndxf>
  </rcc>
  <rcc rId="768" sId="1" odxf="1" dxf="1">
    <nc r="A1255" t="inlineStr">
      <is>
        <t>Расходы на выплаты персоналу казенных учреждений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69" sId="1" odxf="1" dxf="1">
    <nc r="B1255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70" sId="1" odxf="1" dxf="1">
    <nc r="C1255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71" sId="1" odxf="1" dxf="1">
    <nc r="D1255" t="inlineStr">
      <is>
        <t>0920700590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72" sId="1" odxf="1" dxf="1">
    <nc r="E1255">
      <v>110</v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fmt sheetId="1" sqref="F1255" start="0" length="0">
    <dxf>
      <font>
        <b val="0"/>
        <sz val="12"/>
        <color auto="1"/>
      </font>
    </dxf>
  </rfmt>
  <rcc rId="773" sId="1" odxf="1" dxf="1">
    <nc r="A1256" t="inlineStr">
      <is>
        <t>Иные закупки товаров, работ и услуг для обеспечения государственных (муниципальных) нужд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74" sId="1" odxf="1" dxf="1">
    <nc r="B1256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75" sId="1" odxf="1" dxf="1">
    <nc r="C1256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76" sId="1" odxf="1" dxf="1">
    <nc r="D1256" t="inlineStr">
      <is>
        <t>0920700590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77" sId="1" odxf="1" dxf="1">
    <nc r="E1256">
      <v>240</v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fmt sheetId="1" sqref="F1256" start="0" length="0">
    <dxf>
      <font>
        <b val="0"/>
        <sz val="12"/>
        <color auto="1"/>
      </font>
    </dxf>
  </rfmt>
  <rcc rId="778" sId="1" odxf="1" dxf="1">
    <nc r="A1257" t="inlineStr">
      <is>
        <t>Уплата налогов, сборов и иных платежей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79" sId="1" odxf="1" dxf="1">
    <nc r="B1257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80" sId="1" odxf="1" dxf="1">
    <nc r="C1257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81" sId="1" odxf="1" dxf="1">
    <nc r="D1257" t="inlineStr">
      <is>
        <t>0920700590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82" sId="1" odxf="1" dxf="1">
    <nc r="E1257">
      <v>850</v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fmt sheetId="1" sqref="F1257" start="0" length="0">
    <dxf>
      <font>
        <b val="0"/>
        <sz val="12"/>
        <color auto="1"/>
      </font>
    </dxf>
  </rfmt>
  <rcc rId="783" sId="1" odxf="1" dxf="1">
    <nc r="A1258" t="inlineStr">
      <is>
        <t>Субвенция на реализацию Закона Сахалинской области от 23 декабря 2005 года № 106-ЗО «О дополнительной гарантии молодежи, проживающей и работающей в Сахалинской области»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84" sId="1" odxf="1" dxf="1">
    <nc r="B1258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85" sId="1" odxf="1" dxf="1">
    <nc r="C1258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86" sId="1" odxf="1" dxf="1">
    <nc r="D1258" t="inlineStr">
      <is>
        <t>0920762100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fmt sheetId="1" sqref="E1258" start="0" length="0">
    <dxf>
      <font>
        <b val="0"/>
        <sz val="12"/>
        <color auto="1"/>
      </font>
      <fill>
        <patternFill patternType="none">
          <bgColor indexed="65"/>
        </patternFill>
      </fill>
    </dxf>
  </rfmt>
  <rcc rId="787" sId="1" odxf="1" dxf="1">
    <nc r="F1258">
      <f>F1259</f>
    </nc>
    <odxf>
      <font>
        <b/>
        <sz val="12"/>
        <color auto="1"/>
      </font>
    </odxf>
    <ndxf>
      <font>
        <b val="0"/>
        <sz val="12"/>
        <color auto="1"/>
      </font>
    </ndxf>
  </rcc>
  <rcc rId="788" sId="1" odxf="1" dxf="1">
    <nc r="A1259" t="inlineStr">
      <is>
        <t>Расходы на выплаты персоналу казенных учреждений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89" sId="1" odxf="1" dxf="1">
    <nc r="B1259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90" sId="1" odxf="1" dxf="1">
    <nc r="C1259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91" sId="1" odxf="1" dxf="1">
    <nc r="D1259" t="inlineStr">
      <is>
        <t>0920762100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92" sId="1" odxf="1" dxf="1">
    <nc r="E1259">
      <v>110</v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fmt sheetId="1" sqref="F1259" start="0" length="0">
    <dxf>
      <font>
        <b val="0"/>
        <sz val="12"/>
        <color auto="1"/>
      </font>
    </dxf>
  </rfmt>
  <rcc rId="793" sId="1" odxf="1" dxf="1">
    <nc r="A1260" t="inlineStr">
      <is>
        <t>Субсидия на софинансирование расходов муниципальных образований в сфере транспорта и дорожного хозяйства</t>
      </is>
    </nc>
    <odxf>
      <font>
        <b/>
        <sz val="12"/>
        <color theme="1"/>
      </font>
      <fill>
        <patternFill patternType="solid">
          <bgColor theme="0"/>
        </patternFill>
      </fill>
      <alignment horizontal="left" vertical="top" readingOrder="0"/>
    </odxf>
    <ndxf>
      <font>
        <b val="0"/>
        <sz val="12"/>
        <color auto="1"/>
      </font>
      <fill>
        <patternFill patternType="none">
          <bgColor indexed="65"/>
        </patternFill>
      </fill>
      <alignment horizontal="general" vertical="center" readingOrder="0"/>
    </ndxf>
  </rcc>
  <rcc rId="794" sId="1" odxf="1" dxf="1">
    <nc r="B1260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95" sId="1" odxf="1" dxf="1">
    <nc r="C1260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796" sId="1" odxf="1" dxf="1">
    <nc r="D1260" t="inlineStr">
      <is>
        <t>0920763170</t>
      </is>
    </nc>
    <odxf>
      <font>
        <b/>
        <sz val="12"/>
        <color theme="1"/>
      </font>
    </odxf>
    <ndxf>
      <font>
        <b val="0"/>
        <sz val="12"/>
        <color auto="1"/>
      </font>
    </ndxf>
  </rcc>
  <rfmt sheetId="1" sqref="E1260" start="0" length="0">
    <dxf>
      <font>
        <b val="0"/>
        <sz val="12"/>
        <color auto="1"/>
      </font>
      <fill>
        <patternFill patternType="none">
          <bgColor indexed="65"/>
        </patternFill>
      </fill>
    </dxf>
  </rfmt>
  <rcc rId="797" sId="1" odxf="1" dxf="1">
    <nc r="F1260">
      <f>F1261</f>
    </nc>
    <odxf>
      <font>
        <b/>
        <sz val="12"/>
        <color auto="1"/>
      </font>
    </odxf>
    <ndxf>
      <font>
        <b val="0"/>
        <sz val="12"/>
        <color auto="1"/>
      </font>
    </ndxf>
  </rcc>
  <rcc rId="798" sId="1" odxf="1" dxf="1">
    <nc r="A1261" t="inlineStr">
      <is>
        <t>Иные закупки товаров, работ и услуг для обеспечения государственных (муниципальных) нужд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799" sId="1" odxf="1" dxf="1">
    <nc r="B1261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800" sId="1" odxf="1" dxf="1">
    <nc r="C1261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801" sId="1" odxf="1" dxf="1">
    <nc r="D1261" t="inlineStr">
      <is>
        <t>0920763170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802" sId="1" odxf="1" dxf="1">
    <nc r="E1261">
      <v>240</v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803" sId="1" odxf="1" dxf="1" numFmtId="4">
    <nc r="F1261">
      <v>27484.3</v>
    </nc>
    <odxf>
      <font>
        <b/>
        <sz val="12"/>
        <color auto="1"/>
      </font>
    </odxf>
    <ndxf>
      <font>
        <b val="0"/>
        <sz val="12"/>
        <color auto="1"/>
      </font>
    </ndxf>
  </rcc>
  <rcc rId="804" sId="1" odxf="1" dxf="1">
    <nc r="A1262" t="inlineStr">
      <is>
        <t>Софинансирование субсидии на софинансирование расходов муниципальных образований в сфере транспорта и дорожного хозяйства</t>
      </is>
    </nc>
    <odxf>
      <font>
        <b/>
        <sz val="12"/>
        <color theme="1"/>
      </font>
      <fill>
        <patternFill patternType="solid">
          <bgColor theme="0"/>
        </patternFill>
      </fill>
      <alignment horizontal="left" vertical="top" readingOrder="0"/>
    </odxf>
    <ndxf>
      <font>
        <b val="0"/>
        <sz val="12"/>
        <color auto="1"/>
      </font>
      <fill>
        <patternFill patternType="none">
          <bgColor indexed="65"/>
        </patternFill>
      </fill>
      <alignment horizontal="general" vertical="center" readingOrder="0"/>
    </ndxf>
  </rcc>
  <rcc rId="805" sId="1" odxf="1" dxf="1">
    <nc r="B1262">
      <v>902</v>
    </nc>
    <odxf>
      <font>
        <b/>
        <sz val="12"/>
        <color theme="1"/>
      </font>
    </odxf>
    <ndxf>
      <font>
        <b val="0"/>
        <sz val="12"/>
        <color auto="1"/>
      </font>
    </ndxf>
  </rcc>
  <rcc rId="806" sId="1" odxf="1" dxf="1">
    <nc r="C1262" t="inlineStr">
      <is>
        <t>0408</t>
      </is>
    </nc>
    <odxf>
      <font>
        <b/>
        <sz val="12"/>
        <color theme="1"/>
      </font>
      <numFmt numFmtId="0" formatCode="General"/>
      <fill>
        <patternFill patternType="solid">
          <bgColor theme="0"/>
        </patternFill>
      </fill>
    </odxf>
    <ndxf>
      <font>
        <b val="0"/>
        <sz val="12"/>
        <color auto="1"/>
      </font>
      <numFmt numFmtId="30" formatCode="@"/>
      <fill>
        <patternFill patternType="none">
          <bgColor indexed="65"/>
        </patternFill>
      </fill>
    </ndxf>
  </rcc>
  <rcc rId="807" sId="1" odxf="1" dxf="1">
    <nc r="D1262" t="inlineStr">
      <is>
        <t>09207S3170</t>
      </is>
    </nc>
    <odxf>
      <font>
        <b/>
        <sz val="12"/>
        <color theme="1"/>
      </font>
    </odxf>
    <ndxf>
      <font>
        <b val="0"/>
        <sz val="12"/>
        <color auto="1"/>
      </font>
    </ndxf>
  </rcc>
  <rfmt sheetId="1" sqref="E1262" start="0" length="0">
    <dxf>
      <font>
        <b val="0"/>
        <sz val="12"/>
        <color auto="1"/>
      </font>
      <fill>
        <patternFill patternType="none">
          <bgColor indexed="65"/>
        </patternFill>
      </fill>
    </dxf>
  </rfmt>
  <rcc rId="808" sId="1" odxf="1" dxf="1">
    <nc r="F1262">
      <f>F1263</f>
    </nc>
    <odxf>
      <font>
        <b/>
        <sz val="12"/>
        <color auto="1"/>
      </font>
    </odxf>
    <ndxf>
      <font>
        <b val="0"/>
        <sz val="12"/>
        <color auto="1"/>
      </font>
    </ndxf>
  </rcc>
  <rcc rId="809" sId="1" odxf="1" dxf="1">
    <nc r="A1263" t="inlineStr">
      <is>
        <t>Иные закупки товаров, работ и услуг для обеспечения государственных (муниципальных) нужд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810" sId="1" odxf="1" dxf="1">
    <nc r="B1263">
      <v>902</v>
    </nc>
    <odxf>
      <font>
        <b/>
        <sz val="12"/>
        <color theme="1"/>
      </font>
    </odxf>
    <ndxf>
      <font>
        <b val="0"/>
        <sz val="12"/>
        <color auto="1"/>
      </font>
    </ndxf>
  </rcc>
  <rcc rId="811" sId="1" odxf="1" dxf="1">
    <nc r="C1263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812" sId="1" odxf="1" dxf="1">
    <nc r="D1263" t="inlineStr">
      <is>
        <t>09207S3170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813" sId="1" odxf="1" dxf="1">
    <nc r="E1263">
      <v>240</v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814" sId="1" odxf="1" dxf="1" numFmtId="4">
    <nc r="F1263">
      <v>277.60000000000002</v>
    </nc>
    <odxf>
      <font>
        <b/>
        <sz val="12"/>
        <color auto="1"/>
      </font>
    </odxf>
    <ndxf>
      <font>
        <b val="0"/>
        <sz val="12"/>
        <color auto="1"/>
      </font>
    </ndxf>
  </rcc>
  <rcc rId="815" sId="1" odxf="1" dxf="1">
    <nc r="A1264" t="inlineStr">
      <is>
        <t>Субсидия на возмещение части затрат, связанных с оказанием транспортных услуг населению городского округа «Город Южно-Сахалинск»</t>
      </is>
    </nc>
    <odxf>
      <font>
        <b/>
        <sz val="12"/>
        <color theme="1"/>
      </font>
      <fill>
        <patternFill patternType="solid">
          <bgColor theme="0"/>
        </patternFill>
      </fill>
      <alignment vertical="top" readingOrder="0"/>
      <border outline="0">
        <bottom style="thin">
          <color indexed="64"/>
        </bottom>
      </border>
    </odxf>
    <ndxf>
      <font>
        <b val="0"/>
        <sz val="12"/>
        <color auto="1"/>
      </font>
      <fill>
        <patternFill patternType="none">
          <bgColor indexed="65"/>
        </patternFill>
      </fill>
      <alignment vertical="center" readingOrder="0"/>
      <border outline="0">
        <bottom/>
      </border>
    </ndxf>
  </rcc>
  <rcc rId="816" sId="1" odxf="1" dxf="1">
    <nc r="B1264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817" sId="1" odxf="1" dxf="1">
    <nc r="C1264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818" sId="1" odxf="1" dxf="1">
    <nc r="D1264" t="inlineStr">
      <is>
        <t>0920780280</t>
      </is>
    </nc>
    <odxf>
      <font>
        <b/>
        <sz val="12"/>
        <color theme="1"/>
      </font>
    </odxf>
    <ndxf>
      <font>
        <b val="0"/>
        <sz val="12"/>
        <color auto="1"/>
      </font>
    </ndxf>
  </rcc>
  <rfmt sheetId="1" sqref="E1264" start="0" length="0">
    <dxf>
      <font>
        <b val="0"/>
        <sz val="12"/>
        <color auto="1"/>
      </font>
      <fill>
        <patternFill patternType="none">
          <bgColor indexed="65"/>
        </patternFill>
      </fill>
    </dxf>
  </rfmt>
  <rcc rId="819" sId="1" odxf="1" dxf="1">
    <nc r="F1264">
      <f>F1265</f>
    </nc>
    <odxf>
      <font>
        <b/>
        <sz val="12"/>
        <color auto="1"/>
      </font>
    </odxf>
    <ndxf>
      <font>
        <b val="0"/>
        <sz val="12"/>
        <color auto="1"/>
      </font>
    </ndxf>
  </rcc>
  <rcc rId="820" sId="1" odxf="1" dxf="1">
    <nc r="A1265" t="inlineStr">
      <is>
        <t xml:space="preserve">Субсидии юридическим лицам (кроме некоммерческих организаций), индивидуальным предпринимателям, физическим лицам 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821" sId="1" odxf="1" dxf="1">
    <nc r="B1265" t="inlineStr">
      <is>
        <t>902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822" sId="1" odxf="1" dxf="1">
    <nc r="C1265" t="inlineStr">
      <is>
        <t>0408</t>
      </is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823" sId="1" odxf="1" dxf="1">
    <nc r="D1265" t="inlineStr">
      <is>
        <t>0920780280</t>
      </is>
    </nc>
    <odxf>
      <font>
        <b/>
        <sz val="12"/>
        <color theme="1"/>
      </font>
    </odxf>
    <ndxf>
      <font>
        <b val="0"/>
        <sz val="12"/>
        <color auto="1"/>
      </font>
    </ndxf>
  </rcc>
  <rcc rId="824" sId="1" odxf="1" dxf="1">
    <nc r="E1265">
      <v>810</v>
    </nc>
    <odxf>
      <font>
        <b/>
        <sz val="12"/>
        <color theme="1"/>
      </font>
      <fill>
        <patternFill patternType="solid">
          <bgColor theme="0"/>
        </patternFill>
      </fill>
    </odxf>
    <ndxf>
      <font>
        <b val="0"/>
        <sz val="12"/>
        <color auto="1"/>
      </font>
      <fill>
        <patternFill patternType="none">
          <bgColor indexed="65"/>
        </patternFill>
      </fill>
    </ndxf>
  </rcc>
  <rcc rId="825" sId="1" odxf="1" dxf="1">
    <nc r="F1265">
      <f>45000+55000</f>
    </nc>
    <odxf>
      <font>
        <b/>
        <sz val="12"/>
        <color auto="1"/>
      </font>
    </odxf>
    <ndxf>
      <font>
        <b val="0"/>
        <sz val="12"/>
        <color auto="1"/>
      </font>
    </ndxf>
  </rcc>
  <rcc rId="826" sId="1" numFmtId="4">
    <nc r="F1255">
      <v>0</v>
    </nc>
  </rcc>
  <rcc rId="827" sId="1" numFmtId="4">
    <nc r="F1256">
      <v>0</v>
    </nc>
  </rcc>
  <rcc rId="828" sId="1" numFmtId="4">
    <nc r="F1257">
      <v>0</v>
    </nc>
  </rcc>
  <rcc rId="829" sId="1" numFmtId="4">
    <nc r="F1259">
      <v>0</v>
    </nc>
  </rcc>
  <rcc rId="830" sId="1" numFmtId="4">
    <nc r="G1261">
      <v>27484.3</v>
    </nc>
  </rcc>
  <rfmt sheetId="1" sqref="G1261">
    <dxf>
      <numFmt numFmtId="165" formatCode="#,##0.0"/>
    </dxf>
  </rfmt>
  <rrc rId="831" sId="1" ref="A1255:XFD1255" action="deleteRow">
    <undo index="0" exp="ref" v="1" dr="F1255" r="F1254" sId="1"/>
    <rfmt sheetId="1" xfDxf="1" sqref="A1255:XFD1255" start="0" length="0">
      <dxf>
        <font>
          <color auto="1"/>
        </font>
      </dxf>
    </rfmt>
    <rcc rId="0" sId="1" dxf="1">
      <nc r="A1255" t="inlineStr">
        <is>
          <t>Расходы на выплаты персоналу казенных учреждений</t>
        </is>
      </nc>
      <ndxf>
        <font>
          <sz val="12"/>
          <color auto="1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55" t="inlineStr">
        <is>
          <t>902</t>
        </is>
      </nc>
      <ndxf>
        <font>
          <sz val="12"/>
          <color auto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55" t="inlineStr">
        <is>
          <t>0408</t>
        </is>
      </nc>
      <n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55" t="inlineStr">
        <is>
          <t>0920700590</t>
        </is>
      </nc>
      <ndxf>
        <font>
          <sz val="12"/>
          <color auto="1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55">
        <v>110</v>
      </nc>
      <n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55">
        <v>0</v>
      </nc>
      <n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55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1255" start="0" length="0">
      <dxf>
        <numFmt numFmtId="4" formatCode="#,##0.00"/>
      </dxf>
    </rfmt>
  </rrc>
  <rrc rId="832" sId="1" ref="A1255:XFD1255" action="deleteRow">
    <undo index="1" exp="ref" v="1" dr="F1255" r="F1254" sId="1"/>
    <rfmt sheetId="1" xfDxf="1" sqref="A1255:XFD1255" start="0" length="0">
      <dxf>
        <font>
          <color auto="1"/>
        </font>
      </dxf>
    </rfmt>
    <rcc rId="0" sId="1" dxf="1">
      <nc r="A1255" t="inlineStr">
        <is>
          <t>Иные закупки товаров, работ и услуг для обеспечения государственных (муниципальных) нужд</t>
        </is>
      </nc>
      <ndxf>
        <font>
          <sz val="12"/>
          <color auto="1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55" t="inlineStr">
        <is>
          <t>902</t>
        </is>
      </nc>
      <ndxf>
        <font>
          <sz val="12"/>
          <color auto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55" t="inlineStr">
        <is>
          <t>0408</t>
        </is>
      </nc>
      <n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55" t="inlineStr">
        <is>
          <t>0920700590</t>
        </is>
      </nc>
      <ndxf>
        <font>
          <sz val="12"/>
          <color auto="1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55">
        <v>240</v>
      </nc>
      <n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55">
        <v>0</v>
      </nc>
      <n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55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1255" start="0" length="0">
      <dxf>
        <numFmt numFmtId="4" formatCode="#,##0.00"/>
      </dxf>
    </rfmt>
  </rrc>
  <rrc rId="833" sId="1" ref="A1255:XFD1255" action="deleteRow">
    <undo index="3" exp="ref" v="1" dr="F1255" r="F1254" sId="1"/>
    <rfmt sheetId="1" xfDxf="1" sqref="A1255:XFD1255" start="0" length="0">
      <dxf>
        <font>
          <color auto="1"/>
        </font>
      </dxf>
    </rfmt>
    <rcc rId="0" sId="1" dxf="1">
      <nc r="A1255" t="inlineStr">
        <is>
          <t>Уплата налогов, сборов и иных платежей</t>
        </is>
      </nc>
      <ndxf>
        <font>
          <sz val="12"/>
          <color auto="1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55" t="inlineStr">
        <is>
          <t>902</t>
        </is>
      </nc>
      <ndxf>
        <font>
          <sz val="12"/>
          <color auto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55" t="inlineStr">
        <is>
          <t>0408</t>
        </is>
      </nc>
      <n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55" t="inlineStr">
        <is>
          <t>0920700590</t>
        </is>
      </nc>
      <ndxf>
        <font>
          <sz val="12"/>
          <color auto="1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55">
        <v>850</v>
      </nc>
      <n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55">
        <v>0</v>
      </nc>
      <n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55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1255" start="0" length="0">
      <dxf>
        <numFmt numFmtId="4" formatCode="#,##0.00"/>
      </dxf>
    </rfmt>
  </rrc>
  <rrc rId="834" sId="1" ref="A1254:XFD1254" action="deleteRow">
    <undo index="5" exp="ref" v="1" dr="F1254" r="F1253" sId="1"/>
    <rfmt sheetId="1" xfDxf="1" sqref="A1254:XFD1254" start="0" length="0">
      <dxf>
        <font>
          <color auto="1"/>
        </font>
      </dxf>
    </rfmt>
    <rcc rId="0" sId="1" dxf="1">
      <nc r="A1254" t="inlineStr">
        <is>
          <t>Расходы на обеспечение деятельности (оказание услуг) муниципальных учреждений</t>
        </is>
      </nc>
      <ndxf>
        <font>
          <sz val="12"/>
          <color auto="1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54" t="inlineStr">
        <is>
          <t>902</t>
        </is>
      </nc>
      <ndxf>
        <font>
          <sz val="12"/>
          <color auto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54" t="inlineStr">
        <is>
          <t>0408</t>
        </is>
      </nc>
      <n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54" t="inlineStr">
        <is>
          <t>0920700590</t>
        </is>
      </nc>
      <ndxf>
        <font>
          <sz val="12"/>
          <color auto="1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54" start="0" length="0">
      <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54">
        <f>#REF!+#REF!+#REF!</f>
      </nc>
      <n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54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1254" start="0" length="0">
      <dxf>
        <numFmt numFmtId="4" formatCode="#,##0.00"/>
      </dxf>
    </rfmt>
  </rrc>
  <rrc rId="835" sId="1" ref="A1254:XFD1254" action="deleteRow">
    <undo index="7" exp="ref" v="1" dr="F1254" r="F1253" sId="1"/>
    <rfmt sheetId="1" xfDxf="1" sqref="A1254:XFD1254" start="0" length="0">
      <dxf>
        <font>
          <color auto="1"/>
        </font>
      </dxf>
    </rfmt>
    <rcc rId="0" sId="1" dxf="1">
      <nc r="A1254" t="inlineStr">
        <is>
          <t>Субвенция на реализацию Закона Сахалинской области от 23 декабря 2005 года № 106-ЗО «О дополнительной гарантии молодежи, проживающей и работающей в Сахалинской области»</t>
        </is>
      </nc>
      <ndxf>
        <font>
          <sz val="12"/>
          <color auto="1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54" t="inlineStr">
        <is>
          <t>902</t>
        </is>
      </nc>
      <ndxf>
        <font>
          <sz val="12"/>
          <color auto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54" t="inlineStr">
        <is>
          <t>0408</t>
        </is>
      </nc>
      <n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54" t="inlineStr">
        <is>
          <t>0920762100</t>
        </is>
      </nc>
      <ndxf>
        <font>
          <sz val="12"/>
          <color auto="1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54" start="0" length="0">
      <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54">
        <f>F1255</f>
      </nc>
      <n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54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1254" start="0" length="0">
      <dxf>
        <numFmt numFmtId="4" formatCode="#,##0.00"/>
      </dxf>
    </rfmt>
  </rrc>
  <rrc rId="836" sId="1" ref="A1254:XFD1254" action="deleteRow">
    <rfmt sheetId="1" xfDxf="1" sqref="A1254:XFD1254" start="0" length="0">
      <dxf>
        <font>
          <color auto="1"/>
        </font>
      </dxf>
    </rfmt>
    <rcc rId="0" sId="1" dxf="1">
      <nc r="A1254" t="inlineStr">
        <is>
          <t>Расходы на выплаты персоналу казенных учреждений</t>
        </is>
      </nc>
      <ndxf>
        <font>
          <sz val="12"/>
          <color auto="1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54" t="inlineStr">
        <is>
          <t>902</t>
        </is>
      </nc>
      <ndxf>
        <font>
          <sz val="12"/>
          <color auto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54" t="inlineStr">
        <is>
          <t>0408</t>
        </is>
      </nc>
      <n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54" t="inlineStr">
        <is>
          <t>0920762100</t>
        </is>
      </nc>
      <ndxf>
        <font>
          <sz val="12"/>
          <color auto="1"/>
        </font>
        <numFmt numFmtId="30" formatCode="@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54">
        <v>110</v>
      </nc>
      <n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254">
        <v>0</v>
      </nc>
      <n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54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1254" start="0" length="0">
      <dxf>
        <numFmt numFmtId="4" formatCode="#,##0.00"/>
      </dxf>
    </rfmt>
  </rrc>
  <rcc rId="837" sId="1" odxf="1" dxf="1" numFmtId="4">
    <nc r="G1257">
      <v>277.60000000000002</v>
    </nc>
    <ndxf>
      <numFmt numFmtId="165" formatCode="#,##0.0"/>
    </ndxf>
  </rcc>
  <rcc rId="838" sId="1" numFmtId="4">
    <nc r="G1259">
      <v>100000</v>
    </nc>
  </rcc>
  <rcc rId="839" sId="1">
    <nc r="F1253">
      <f>F1254+F1258+F1256</f>
    </nc>
  </rcc>
  <rcc rId="840" sId="1">
    <oc r="F1249">
      <f>F1262</f>
    </oc>
    <nc r="F1249">
      <f>F1262+F1250</f>
    </nc>
  </rcc>
  <rrc rId="841" sId="1" ref="A1260:XFD1260" action="deleteRow">
    <rfmt sheetId="1" xfDxf="1" sqref="A1260:XFD1260" start="0" length="0">
      <dxf>
        <font>
          <color auto="1"/>
        </font>
      </dxf>
    </rfmt>
    <rfmt sheetId="1" sqref="A1260" start="0" length="0">
      <dxf>
        <font>
          <b/>
          <sz val="12"/>
          <color theme="1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60" start="0" length="0">
      <dxf>
        <font>
          <b/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60" start="0" length="0">
      <dxf>
        <font>
          <b/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60" start="0" length="0">
      <dxf>
        <font>
          <b/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60" start="0" length="0">
      <dxf>
        <font>
          <b/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60" start="0" length="0">
      <dxf>
        <font>
          <b/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60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1260" start="0" length="0">
      <dxf>
        <numFmt numFmtId="4" formatCode="#,##0.00"/>
      </dxf>
    </rfmt>
  </rrc>
  <rrc rId="842" sId="1" ref="A1260:XFD1260" action="deleteRow">
    <rfmt sheetId="1" xfDxf="1" sqref="A1260:XFD1260" start="0" length="0">
      <dxf>
        <font>
          <color auto="1"/>
        </font>
      </dxf>
    </rfmt>
    <rfmt sheetId="1" sqref="A1260" start="0" length="0">
      <dxf>
        <font>
          <b/>
          <sz val="12"/>
          <color theme="1"/>
        </font>
        <fill>
          <patternFill patternType="solid">
            <bgColor theme="0"/>
          </patternFill>
        </fill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60" start="0" length="0">
      <dxf>
        <font>
          <b/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60" start="0" length="0">
      <dxf>
        <font>
          <b/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60" start="0" length="0">
      <dxf>
        <font>
          <b/>
          <sz val="12"/>
          <color theme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60" start="0" length="0">
      <dxf>
        <font>
          <b/>
          <sz val="12"/>
          <color theme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60" start="0" length="0">
      <dxf>
        <font>
          <b/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60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1260" start="0" length="0">
      <dxf>
        <numFmt numFmtId="4" formatCode="#,##0.00"/>
      </dxf>
    </rfmt>
  </rr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3" sId="1">
    <oc r="B1679">
      <f>F276</f>
    </oc>
    <nc r="B1679">
      <f>F1253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4" sId="1" ref="A1362:XFD1362" action="insertRow"/>
  <rrc rId="845" sId="1" ref="A1362:XFD1362" action="insertRow"/>
  <rcc rId="846" sId="1" odxf="1" dxf="1">
    <nc r="B1362" t="inlineStr">
      <is>
        <t>915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7" sId="1" odxf="1" dxf="1">
    <nc r="B1363" t="inlineStr">
      <is>
        <t>915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8" sId="1" odxf="1" dxf="1">
    <nc r="C1362" t="inlineStr">
      <is>
        <t>0502</t>
      </is>
    </nc>
    <odxf>
      <numFmt numFmtId="30" formatCode="@"/>
      <fill>
        <patternFill patternType="solid">
          <bgColor theme="0"/>
        </patternFill>
      </fill>
    </odxf>
    <ndxf>
      <numFmt numFmtId="0" formatCode="General"/>
      <fill>
        <patternFill patternType="none">
          <bgColor indexed="65"/>
        </patternFill>
      </fill>
    </ndxf>
  </rcc>
  <rcc rId="849" sId="1" odxf="1" dxf="1">
    <nc r="C1363" t="inlineStr">
      <is>
        <t>0502</t>
      </is>
    </nc>
    <odxf>
      <numFmt numFmtId="30" formatCode="@"/>
      <fill>
        <patternFill patternType="solid">
          <bgColor theme="0"/>
        </patternFill>
      </fill>
    </odxf>
    <ndxf>
      <numFmt numFmtId="0" formatCode="General"/>
      <fill>
        <patternFill patternType="none">
          <bgColor indexed="65"/>
        </patternFill>
      </fill>
    </ndxf>
  </rcc>
  <rcc rId="850" sId="1">
    <nc r="D1362" t="inlineStr">
      <is>
        <t>1100780400</t>
      </is>
    </nc>
  </rcc>
  <rcc rId="851" sId="1">
    <nc r="D1363" t="inlineStr">
      <is>
        <t>1100780400</t>
      </is>
    </nc>
  </rcc>
  <rcc rId="852" sId="1">
    <nc r="E1363">
      <v>810</v>
    </nc>
  </rcc>
  <rcc rId="853" sId="1">
    <nc r="G1363" t="inlineStr">
      <is>
        <t>+ 10 000,0</t>
      </is>
    </nc>
  </rcc>
  <rcc rId="854" sId="1" numFmtId="4">
    <nc r="F1363">
      <v>10000</v>
    </nc>
  </rcc>
  <rcc rId="855" sId="1">
    <nc r="F1362">
      <f>F1363</f>
    </nc>
  </rcc>
  <rcc rId="856" sId="1" odxf="1" dxf="1">
    <nc r="A1362" t="inlineStr">
      <is>
        <t>Субсидия на возмещение затрат, возникающих, при осуществлении деятельности в сфере электроснабжения, теплоснабжения, водоснабжения и водоотведения</t>
      </is>
    </nc>
    <odxf>
      <font>
        <sz val="12"/>
        <color auto="1"/>
      </font>
      <fill>
        <patternFill patternType="solid">
          <bgColor theme="0"/>
        </patternFill>
      </fill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sz val="12"/>
        <color theme="1"/>
      </font>
      <fill>
        <patternFill patternType="none">
          <bgColor indexed="65"/>
        </patternFill>
      </fill>
      <alignment horizontal="general" readingOrder="0"/>
      <border outline="0">
        <left/>
        <right/>
        <top/>
        <bottom/>
      </border>
    </ndxf>
  </rcc>
  <rcc rId="857" sId="1" odxf="1" dxf="1">
    <nc r="A1363" t="inlineStr">
      <is>
        <t xml:space="preserve">Субсидии юридическим лицам (кроме некоммерческих организаций), индивидуальным предпринимателям, физическим лицам </t>
      </is>
    </nc>
    <odxf>
      <font>
        <sz val="12"/>
        <color auto="1"/>
      </font>
    </odxf>
    <ndxf>
      <font>
        <sz val="12"/>
        <color theme="1"/>
      </font>
    </ndxf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8" sId="1">
    <oc r="F1355">
      <f>F1356+F1358+F1360</f>
    </oc>
    <nc r="F1355">
      <f>F1356+F1358+F1360+F1362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>
    <oc r="B1250" t="inlineStr">
      <is>
        <t>902</t>
      </is>
    </oc>
    <nc r="B1250">
      <v>915</v>
    </nc>
  </rcc>
  <rcc rId="860" sId="1">
    <oc r="B1251" t="inlineStr">
      <is>
        <t>902</t>
      </is>
    </oc>
    <nc r="B1251">
      <v>915</v>
    </nc>
  </rcc>
  <rcc rId="861" sId="1">
    <oc r="B1252" t="inlineStr">
      <is>
        <t>902</t>
      </is>
    </oc>
    <nc r="B1252">
      <v>915</v>
    </nc>
  </rcc>
  <rcc rId="862" sId="1">
    <oc r="B1253" t="inlineStr">
      <is>
        <t>902</t>
      </is>
    </oc>
    <nc r="B1253">
      <v>915</v>
    </nc>
  </rcc>
  <rcc rId="863" sId="1">
    <oc r="B1254" t="inlineStr">
      <is>
        <t>902</t>
      </is>
    </oc>
    <nc r="B1254">
      <v>915</v>
    </nc>
  </rcc>
  <rcc rId="864" sId="1">
    <oc r="B1255" t="inlineStr">
      <is>
        <t>902</t>
      </is>
    </oc>
    <nc r="B1255">
      <v>915</v>
    </nc>
  </rcc>
  <rcc rId="865" sId="1">
    <oc r="B1256">
      <v>902</v>
    </oc>
    <nc r="B1256">
      <v>915</v>
    </nc>
  </rcc>
  <rcc rId="866" sId="1">
    <oc r="B1257">
      <v>902</v>
    </oc>
    <nc r="B1257">
      <v>915</v>
    </nc>
  </rcc>
  <rcc rId="867" sId="1">
    <oc r="B1258" t="inlineStr">
      <is>
        <t>902</t>
      </is>
    </oc>
    <nc r="B1258">
      <v>915</v>
    </nc>
  </rcc>
  <rcc rId="868" sId="1">
    <oc r="B1259" t="inlineStr">
      <is>
        <t>902</t>
      </is>
    </oc>
    <nc r="B1259">
      <v>915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7" sId="1">
    <nc r="G794" t="inlineStr">
      <is>
        <t>1000</t>
      </is>
    </nc>
  </rcc>
  <rfmt sheetId="1" sqref="G794" start="0" length="2147483647">
    <dxf>
      <font>
        <color rgb="FFFFFF00"/>
      </font>
    </dxf>
  </rfmt>
  <rcc rId="908" sId="1">
    <oc r="F794">
      <f>4343.8</f>
    </oc>
    <nc r="F794">
      <f>4343.8+1000</f>
    </nc>
  </rcc>
  <rcc rId="909" sId="1">
    <nc r="G795" t="inlineStr">
      <is>
        <t>1000</t>
      </is>
    </nc>
  </rcc>
  <rfmt sheetId="1" sqref="G795" start="0" length="2147483647">
    <dxf>
      <font>
        <color rgb="FFFFFF00"/>
      </font>
    </dxf>
  </rfmt>
  <rcc rId="910" sId="1">
    <oc r="F795">
      <f>3947.4</f>
    </oc>
    <nc r="F795">
      <f>3947.4+1000</f>
    </nc>
  </rcc>
  <rcc rId="911" sId="1" numFmtId="4">
    <nc r="G852">
      <v>9676.2000000000007</v>
    </nc>
  </rcc>
  <rcc rId="912" sId="1" numFmtId="4">
    <nc r="G853">
      <v>20323.8</v>
    </nc>
  </rcc>
  <rcc rId="913" sId="1">
    <oc r="F852">
      <f>41604+1550</f>
    </oc>
    <nc r="F852">
      <f>41604+1550+9676.2</f>
    </nc>
  </rcc>
  <rcc rId="914" sId="1">
    <oc r="F853">
      <f>54538.7+3376</f>
    </oc>
    <nc r="F853">
      <f>54538.7+3376+20323.8</f>
    </nc>
  </rcc>
  <rcc rId="915" sId="1" numFmtId="4">
    <nc r="G822" t="inlineStr">
      <is>
        <r>
          <t>150</t>
        </r>
        <r>
          <rPr>
            <b/>
            <u/>
            <sz val="12"/>
            <color rgb="FFFFFF00"/>
            <rFont val="Times New Roman"/>
            <family val="1"/>
            <charset val="204"/>
          </rPr>
          <t>;  3516</t>
        </r>
      </is>
    </nc>
  </rcc>
  <rcc rId="916" sId="1">
    <oc r="F822">
      <f>212967.9+11900+3600</f>
    </oc>
    <nc r="F822">
      <f>212967.9+11900+3600+150+3516</f>
    </nc>
  </rcc>
  <rcc rId="917" sId="1">
    <nc r="G823" t="inlineStr">
      <is>
        <t>9850; 4395</t>
      </is>
    </nc>
  </rcc>
  <rcc rId="918" sId="1">
    <oc r="F823">
      <f>320419.9-4069.9+9200+12100</f>
    </oc>
    <nc r="F823">
      <f>320419.9-4069.9+9200+12100+9850+4395</f>
    </nc>
  </rcc>
  <rfmt sheetId="1" sqref="G822" start="0" length="2147483647">
    <dxf>
      <font>
        <b val="0"/>
      </font>
    </dxf>
  </rfmt>
  <rfmt sheetId="1" sqref="G822" start="0" length="2147483647">
    <dxf>
      <font>
        <b/>
      </font>
    </dxf>
  </rfmt>
  <rcc rId="919" sId="1" numFmtId="4">
    <nc r="G861">
      <v>1758</v>
    </nc>
  </rcc>
  <rcc rId="920" sId="1">
    <oc r="F861">
      <f>65528.4-333.3+3000+4100</f>
    </oc>
    <nc r="F861">
      <f>65528.4-333.3+3000+4100+1758</f>
    </nc>
  </rcc>
  <rcc rId="921" sId="1" numFmtId="4">
    <nc r="G877">
      <v>146.5</v>
    </nc>
  </rcc>
  <rcc rId="922" sId="1">
    <oc r="F877">
      <f>18554.7+500</f>
    </oc>
    <nc r="F877">
      <f>18554.7+500+146.5</f>
    </nc>
  </rcc>
  <rcc rId="923" sId="1" numFmtId="4">
    <nc r="G862" t="inlineStr">
      <is>
        <t>10000;  4891,5</t>
      </is>
    </nc>
  </rcc>
  <rcc rId="924" sId="1">
    <oc r="F862">
      <f>145861.5-3330.1-394+9900+5100</f>
    </oc>
    <nc r="F862">
      <f>145861.5-3330.1-394+9900+5100+10000+4891.5</f>
    </nc>
  </rcc>
  <rcc rId="925" sId="1">
    <oc r="G908" t="inlineStr">
      <is>
        <t>551,5;  200</t>
      </is>
    </oc>
    <nc r="G908" t="inlineStr">
      <is>
        <t>551,5;  200; 146,5</t>
      </is>
    </nc>
  </rcc>
  <rcc rId="926" sId="1">
    <oc r="F908">
      <f>28866.5+500+551.5+200</f>
    </oc>
    <nc r="F908">
      <f>28866.5+500+551.5+200+146.5</f>
    </nc>
  </rcc>
  <rcc rId="927" sId="1">
    <oc r="G909" t="inlineStr">
      <is>
        <t>1520,9</t>
      </is>
    </oc>
    <nc r="G909" t="inlineStr">
      <is>
        <t>1520,9; 146,5</t>
      </is>
    </nc>
  </rcc>
  <rcc rId="928" sId="1">
    <oc r="F909">
      <f>90395.2+702+1520.9</f>
    </oc>
    <nc r="F909">
      <f>90395.2+702+1520.9+146.5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9" sId="1" numFmtId="4">
    <oc r="B1739">
      <v>0</v>
    </oc>
    <nc r="B1739">
      <f>F1328</f>
    </nc>
  </rcc>
  <rcc rId="930" sId="1" numFmtId="4">
    <nc r="D1739">
      <v>0</v>
    </nc>
  </rcc>
  <rcv guid="{1CE5A45D-2312-4713-A5DC-016ED1C7E17E}" action="delete"/>
  <rdn rId="0" localSheetId="1" customView="1" name="Z_1CE5A45D_2312_4713_A5DC_016ED1C7E17E_.wvu.PrintArea" hidden="1" oldHidden="1">
    <formula>январь!$A$6:$F$1577</formula>
    <oldFormula>январь!$A$6:$F$1577</oldFormula>
  </rdn>
  <rdn rId="0" localSheetId="1" customView="1" name="Z_1CE5A45D_2312_4713_A5DC_016ED1C7E17E_.wvu.PrintTitles" hidden="1" oldHidden="1">
    <formula>январь!$9:$10</formula>
    <oldFormula>январь!$9:$10</oldFormula>
  </rdn>
  <rdn rId="0" localSheetId="1" customView="1" name="Z_1CE5A45D_2312_4713_A5DC_016ED1C7E17E_.wvu.FilterData" hidden="1" oldHidden="1">
    <formula>январь!$A$10:$F$1578</formula>
    <oldFormula>январь!$A$10:$F$1578</oldFormula>
  </rdn>
  <rcv guid="{1CE5A45D-2312-4713-A5DC-016ED1C7E17E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" sId="1" ref="A269:XFD269" action="insertRow"/>
  <rrc rId="62" sId="1" ref="A269:XFD269" action="insertRow"/>
  <rrc rId="63" sId="1" ref="A269:XFD270" action="insertRow"/>
  <rrc rId="64" sId="1" ref="A269:XFD272" action="insertRow"/>
  <rcc rId="65" sId="1">
    <nc r="A269" t="inlineStr">
      <is>
        <t>Расходы на обеспечение деятельности (оказание услуг) муниципальных учреждений</t>
      </is>
    </nc>
  </rcc>
  <rcc rId="66" sId="1" odxf="1" dxf="1">
    <nc r="B269" t="inlineStr">
      <is>
        <t>902</t>
      </is>
    </nc>
    <odxf>
      <font>
        <sz val="12"/>
        <color auto="1"/>
      </font>
    </odxf>
    <ndxf>
      <font>
        <sz val="12"/>
        <color theme="1"/>
      </font>
    </ndxf>
  </rcc>
  <rcc rId="67" sId="1">
    <nc r="C269" t="inlineStr">
      <is>
        <t>0408</t>
      </is>
    </nc>
  </rcc>
  <rcc rId="68" sId="1" odxf="1" dxf="1">
    <nc r="D269" t="inlineStr">
      <is>
        <t>0920700590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69" sId="1">
    <nc r="F269">
      <f>F270+F271+F272</f>
    </nc>
  </rcc>
  <rcc rId="70" sId="1">
    <nc r="A270" t="inlineStr">
      <is>
        <t>Расходы на выплаты персоналу казенных учреждений</t>
      </is>
    </nc>
  </rcc>
  <rcc rId="71" sId="1" odxf="1" dxf="1">
    <nc r="B270" t="inlineStr">
      <is>
        <t>902</t>
      </is>
    </nc>
    <odxf>
      <font>
        <sz val="12"/>
        <color auto="1"/>
      </font>
    </odxf>
    <ndxf>
      <font>
        <sz val="12"/>
        <color theme="1"/>
      </font>
    </ndxf>
  </rcc>
  <rcc rId="72" sId="1">
    <nc r="C270" t="inlineStr">
      <is>
        <t>0408</t>
      </is>
    </nc>
  </rcc>
  <rcc rId="73" sId="1" odxf="1" dxf="1">
    <nc r="D270" t="inlineStr">
      <is>
        <t>0920700590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4" sId="1">
    <nc r="E270">
      <v>110</v>
    </nc>
  </rcc>
  <rcc rId="75" sId="1">
    <nc r="A271" t="inlineStr">
      <is>
        <t>Иные закупки товаров, работ и услуг для обеспечения государственных (муниципальных) нужд</t>
      </is>
    </nc>
  </rcc>
  <rcc rId="76" sId="1" odxf="1" dxf="1">
    <nc r="B271" t="inlineStr">
      <is>
        <t>902</t>
      </is>
    </nc>
    <odxf>
      <font>
        <sz val="12"/>
        <color auto="1"/>
      </font>
    </odxf>
    <ndxf>
      <font>
        <sz val="12"/>
        <color theme="1"/>
      </font>
    </ndxf>
  </rcc>
  <rcc rId="77" sId="1">
    <nc r="C271" t="inlineStr">
      <is>
        <t>0408</t>
      </is>
    </nc>
  </rcc>
  <rcc rId="78" sId="1" odxf="1" dxf="1">
    <nc r="D271" t="inlineStr">
      <is>
        <t>0920700590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9" sId="1">
    <nc r="E271">
      <v>240</v>
    </nc>
  </rcc>
  <rcc rId="80" sId="1">
    <nc r="A272" t="inlineStr">
      <is>
        <t>Уплата налогов, сборов и иных платежей</t>
      </is>
    </nc>
  </rcc>
  <rcc rId="81" sId="1" odxf="1" dxf="1">
    <nc r="B272" t="inlineStr">
      <is>
        <t>902</t>
      </is>
    </nc>
    <odxf>
      <font>
        <sz val="12"/>
        <color auto="1"/>
      </font>
    </odxf>
    <ndxf>
      <font>
        <sz val="12"/>
        <color theme="1"/>
      </font>
    </ndxf>
  </rcc>
  <rcc rId="82" sId="1">
    <nc r="C272" t="inlineStr">
      <is>
        <t>0408</t>
      </is>
    </nc>
  </rcc>
  <rcc rId="83" sId="1" odxf="1" dxf="1">
    <nc r="D272" t="inlineStr">
      <is>
        <t>0920700590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4" sId="1">
    <nc r="E272">
      <v>850</v>
    </nc>
  </rcc>
  <rrc rId="85" sId="1" ref="A275:XFD275" action="deleteRow">
    <rfmt sheetId="1" xfDxf="1" sqref="A275:XFD275" start="0" length="0">
      <dxf>
        <font>
          <color auto="1"/>
        </font>
      </dxf>
    </rfmt>
    <rfmt sheetId="1" sqref="A275" start="0" length="0">
      <dxf>
        <font>
          <sz val="12"/>
          <color auto="1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5" start="0" length="0">
      <dxf>
        <font>
          <sz val="12"/>
          <color auto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5" start="0" length="0">
      <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5" start="0" length="0">
      <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5" start="0" length="0">
      <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5" start="0" length="0">
      <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5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275" start="0" length="0">
      <dxf>
        <numFmt numFmtId="4" formatCode="#,##0.00"/>
      </dxf>
    </rfmt>
  </rrc>
  <rrc rId="86" sId="1" ref="A275:XFD275" action="deleteRow">
    <rfmt sheetId="1" xfDxf="1" sqref="A275:XFD275" start="0" length="0">
      <dxf>
        <font>
          <color auto="1"/>
        </font>
      </dxf>
    </rfmt>
    <rfmt sheetId="1" sqref="A275" start="0" length="0">
      <dxf>
        <font>
          <sz val="12"/>
          <color auto="1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5" start="0" length="0">
      <dxf>
        <font>
          <sz val="12"/>
          <color auto="1"/>
        </font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5" start="0" length="0">
      <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5" start="0" length="0">
      <dxf>
        <font>
          <sz val="12"/>
          <color auto="1"/>
        </font>
        <numFmt numFmtId="30" formatCode="@"/>
        <fill>
          <patternFill patternType="solid">
            <bgColor theme="0"/>
          </patternFill>
        </fill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5" start="0" length="0">
      <dxf>
        <font>
          <sz val="12"/>
          <color auto="1"/>
        </font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5" start="0" length="0">
      <dxf>
        <font>
          <sz val="12"/>
          <color auto="1"/>
        </font>
        <numFmt numFmtId="165" formatCode="#,##0.0"/>
        <alignment horizont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5" start="0" length="0">
      <dxf>
        <font>
          <sz val="12"/>
          <color auto="1"/>
        </font>
        <numFmt numFmtId="3" formatCode="#,##0"/>
        <alignment horizontal="left" readingOrder="0"/>
      </dxf>
    </rfmt>
    <rfmt sheetId="1" sqref="H275" start="0" length="0">
      <dxf>
        <numFmt numFmtId="4" formatCode="#,##0.00"/>
      </dxf>
    </rfmt>
  </rrc>
  <rcc rId="87" sId="1" odxf="1" dxf="1">
    <nc r="A273" t="inlineStr">
      <is>
        <t>Субвенция на реализацию Закона Сахалинской области от 23 декабря 2005 года № 106-ЗО «О дополнительной гарантии молодежи, проживающей и работающей в Сахалинской области»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8" sId="1" odxf="1" dxf="1">
    <nc r="B273" t="inlineStr">
      <is>
        <t>902</t>
      </is>
    </nc>
    <odxf>
      <font>
        <sz val="12"/>
        <color auto="1"/>
      </font>
    </odxf>
    <ndxf>
      <font>
        <sz val="12"/>
        <color theme="1"/>
      </font>
    </ndxf>
  </rcc>
  <rcc rId="89" sId="1">
    <nc r="C273" t="inlineStr">
      <is>
        <t>0408</t>
      </is>
    </nc>
  </rcc>
  <rcc rId="90" sId="1" odxf="1" dxf="1">
    <nc r="D273" t="inlineStr">
      <is>
        <t>0920762100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" sId="1">
    <nc r="F273">
      <f>F274</f>
    </nc>
  </rcc>
  <rcc rId="92" sId="1" odxf="1" dxf="1">
    <nc r="A274" t="inlineStr">
      <is>
        <t>Расходы на выплаты персоналу казенных учреждений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3" sId="1" odxf="1" dxf="1">
    <nc r="B274" t="inlineStr">
      <is>
        <t>902</t>
      </is>
    </nc>
    <odxf>
      <font>
        <sz val="12"/>
        <color auto="1"/>
      </font>
    </odxf>
    <ndxf>
      <font>
        <sz val="12"/>
        <color theme="1"/>
      </font>
    </ndxf>
  </rcc>
  <rcc rId="94" sId="1">
    <nc r="C274" t="inlineStr">
      <is>
        <t>0408</t>
      </is>
    </nc>
  </rcc>
  <rcc rId="95" sId="1" odxf="1" dxf="1">
    <nc r="D274" t="inlineStr">
      <is>
        <t>0920762100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6" sId="1">
    <nc r="E274">
      <v>110</v>
    </nc>
  </rcc>
  <rcc rId="97" sId="1" numFmtId="4">
    <nc r="F274">
      <v>84</v>
    </nc>
  </rcc>
  <rfmt sheetId="1" sqref="A269:F274" start="0" length="2147483647">
    <dxf>
      <font>
        <color rgb="FF7030A0"/>
      </font>
    </dxf>
  </rfmt>
  <rfmt sheetId="1" sqref="A273:F274" start="0" length="2147483647">
    <dxf>
      <font>
        <color auto="1"/>
      </font>
    </dxf>
  </rfmt>
  <rfmt sheetId="1" sqref="G269:G274">
    <dxf>
      <numFmt numFmtId="30" formatCode="@"/>
    </dxf>
  </rfmt>
  <rcc rId="98" sId="1" numFmtId="30">
    <nc r="G274" t="inlineStr">
      <is>
        <t>+84,0</t>
      </is>
    </nc>
  </rcc>
  <rfmt sheetId="1" sqref="G269:G274" start="0" length="2147483647">
    <dxf>
      <font>
        <color rgb="FF390FB1"/>
      </font>
    </dxf>
  </rfmt>
  <rcc rId="99" sId="1" numFmtId="4">
    <nc r="F270">
      <v>18652.5</v>
    </nc>
  </rcc>
  <rcc rId="100" sId="1" numFmtId="4">
    <nc r="F271">
      <v>1350.6</v>
    </nc>
  </rcc>
  <rcc rId="101" sId="1" numFmtId="4">
    <nc r="F272">
      <v>12</v>
    </nc>
  </rcc>
  <rfmt sheetId="1" sqref="A270:F272" start="0" length="2147483647">
    <dxf>
      <font>
        <color auto="1"/>
      </font>
    </dxf>
  </rfmt>
  <rfmt sheetId="1" sqref="G270" start="0" length="0">
    <dxf>
      <font>
        <sz val="12"/>
        <color auto="1"/>
      </font>
      <numFmt numFmtId="165" formatCode="#,##0.0"/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G271" start="0" length="0">
    <dxf>
      <font>
        <sz val="12"/>
        <color auto="1"/>
      </font>
      <numFmt numFmtId="165" formatCode="#,##0.0"/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G272" start="0" length="0">
    <dxf>
      <font>
        <sz val="12"/>
        <color auto="1"/>
      </font>
      <numFmt numFmtId="165" formatCode="#,##0.0"/>
      <alignment horizont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G270:G273" start="0" length="0">
    <dxf>
      <border>
        <left/>
      </border>
    </dxf>
  </rfmt>
  <rfmt sheetId="1" sqref="G270" start="0" length="0">
    <dxf>
      <border>
        <top/>
      </border>
    </dxf>
  </rfmt>
  <rfmt sheetId="1" sqref="G270:G273" start="0" length="0">
    <dxf>
      <border>
        <right/>
      </border>
    </dxf>
  </rfmt>
  <rfmt sheetId="1" sqref="G270:G273">
    <dxf>
      <border>
        <top/>
        <bottom/>
        <horizontal/>
      </border>
    </dxf>
  </rfmt>
  <rfmt sheetId="1" sqref="G270:G272">
    <dxf>
      <alignment horizontal="left" readingOrder="0"/>
    </dxf>
  </rfmt>
  <rfmt sheetId="1" sqref="G270:G272" start="0" length="2147483647">
    <dxf>
      <font>
        <color rgb="FF390FB1"/>
      </font>
    </dxf>
  </rfmt>
  <rfmt sheetId="1" sqref="G270:G272">
    <dxf>
      <numFmt numFmtId="30" formatCode="@"/>
    </dxf>
  </rfmt>
  <rcc rId="102" sId="1" numFmtId="30">
    <nc r="G270" t="inlineStr">
      <is>
        <t>+18652,5</t>
      </is>
    </nc>
  </rcc>
  <rcc rId="103" sId="1" numFmtId="30">
    <nc r="G271" t="inlineStr">
      <is>
        <t>+1350,6</t>
      </is>
    </nc>
  </rcc>
  <rcc rId="104" sId="1" numFmtId="30">
    <nc r="G272" t="inlineStr">
      <is>
        <t>+12</t>
      </is>
    </nc>
  </rcc>
  <rfmt sheetId="1" sqref="A269:F269" start="0" length="2147483647">
    <dxf>
      <font>
        <color auto="1"/>
      </font>
    </dxf>
  </rfmt>
  <rcc rId="105" sId="1">
    <oc r="F268">
      <f>F275+F279+F277</f>
    </oc>
    <nc r="F268">
      <f>F275+F279+F277+F269</f>
    </nc>
  </rcc>
  <rcc rId="106" sId="1">
    <nc r="G157" t="inlineStr">
      <is>
        <t>-18652,5</t>
      </is>
    </nc>
  </rcc>
  <rcc rId="107" sId="1">
    <nc r="G158" t="inlineStr">
      <is>
        <t>-1350,6</t>
      </is>
    </nc>
  </rcc>
  <rcc rId="108" sId="1">
    <nc r="G159" t="inlineStr">
      <is>
        <t>-12</t>
      </is>
    </nc>
  </rcc>
  <rcc rId="109" sId="1">
    <nc r="G161" t="inlineStr">
      <is>
        <t>-84</t>
      </is>
    </nc>
  </rcc>
  <rfmt sheetId="1" sqref="G157:G161" start="0" length="2147483647">
    <dxf>
      <font>
        <color rgb="FF390FB1"/>
      </font>
    </dxf>
  </rfmt>
  <rcc rId="110" sId="1" numFmtId="4">
    <oc r="F157">
      <v>18652.5</v>
    </oc>
    <nc r="F157">
      <v>0</v>
    </nc>
  </rcc>
  <rcc rId="111" sId="1" numFmtId="4">
    <oc r="F158">
      <v>1350.6</v>
    </oc>
    <nc r="F158">
      <v>0</v>
    </nc>
  </rcc>
  <rcc rId="112" sId="1" numFmtId="4">
    <oc r="F159">
      <v>12</v>
    </oc>
    <nc r="F159">
      <v>0</v>
    </nc>
  </rcc>
  <rcc rId="113" sId="1" numFmtId="4">
    <oc r="F161">
      <v>84</v>
    </oc>
    <nc r="F161">
      <v>0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4" sId="1" numFmtId="4">
    <oc r="B1768">
      <v>0</v>
    </oc>
    <nc r="B1768">
      <f>F1361</f>
    </nc>
  </rcc>
  <rcc rId="935" sId="1" numFmtId="4">
    <nc r="D1768">
      <v>0</v>
    </nc>
  </rcc>
  <rcc rId="936" sId="1" numFmtId="4">
    <oc r="B1770">
      <v>0</v>
    </oc>
    <nc r="B1770">
      <f>F1367</f>
    </nc>
  </rcc>
  <rcc rId="937" sId="1" numFmtId="4">
    <nc r="D1770">
      <v>0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8" sId="1" numFmtId="4">
    <oc r="F294">
      <v>54934</v>
    </oc>
    <nc r="F294">
      <f>54934-2302.2</f>
    </nc>
  </rcc>
  <rcc rId="939" sId="1">
    <nc r="G294" t="inlineStr">
      <is>
        <t>-2302,2</t>
      </is>
    </nc>
  </rcc>
  <rfmt sheetId="1" sqref="G298:G300" start="0" length="2147483647">
    <dxf>
      <font/>
    </dxf>
  </rfmt>
  <rfmt sheetId="1" sqref="G298:G300" start="0" length="2147483647">
    <dxf>
      <font>
        <i val="0"/>
      </font>
    </dxf>
  </rfmt>
  <rrc rId="940" sId="1" ref="A316:XFD316" action="insertRow"/>
  <rrc rId="941" sId="1" ref="A316:XFD316" action="insertRow"/>
  <rrc rId="942" sId="1" ref="A316:XFD316" action="insertRow"/>
  <rrc rId="943" sId="1" ref="A316:XFD316" action="insertRow"/>
  <rcc rId="944" sId="1">
    <nc r="A316" t="inlineStr">
      <is>
        <t>Муниципальная программа «Формирование современной городской среды на 2018-2022 годы» на территории городского округа «Город Южно-Сахалинск»</t>
      </is>
    </nc>
  </rcc>
  <rcc rId="945" sId="1">
    <nc r="A317" t="inlineStr">
      <is>
        <t>Приоритетный проект «Формирование современной городской среды»</t>
      </is>
    </nc>
  </rcc>
  <rcc rId="946" sId="1">
    <nc r="A318" t="inlineStr">
      <is>
        <t>Иные обязательства, возникающие при реализации муниципальных программ</t>
      </is>
    </nc>
  </rcc>
  <rcc rId="947" sId="1">
    <nc r="A319" t="inlineStr">
      <is>
        <t>Иные закупки товаров, работ и услуг для обеспечения государственных (муниципальных) нужд</t>
      </is>
    </nc>
  </rcc>
  <rcc rId="948" sId="1">
    <nc r="D316" t="inlineStr">
      <is>
        <t>2500000000</t>
      </is>
    </nc>
  </rcc>
  <rcc rId="949" sId="1">
    <nc r="D317" t="inlineStr">
      <is>
        <t>2500100000</t>
      </is>
    </nc>
  </rcc>
  <rcc rId="950" sId="1">
    <nc r="D318" t="inlineStr">
      <is>
        <t>2500120990</t>
      </is>
    </nc>
  </rcc>
  <rcc rId="951" sId="1">
    <nc r="D319" t="inlineStr">
      <is>
        <t>2500120990</t>
      </is>
    </nc>
  </rcc>
  <rcc rId="952" sId="1">
    <nc r="B316" t="inlineStr">
      <is>
        <t>902</t>
      </is>
    </nc>
  </rcc>
  <rcc rId="953" sId="1">
    <nc r="B317" t="inlineStr">
      <is>
        <t>902</t>
      </is>
    </nc>
  </rcc>
  <rcc rId="954" sId="1">
    <nc r="B318" t="inlineStr">
      <is>
        <t>902</t>
      </is>
    </nc>
  </rcc>
  <rcc rId="955" sId="1">
    <nc r="B319" t="inlineStr">
      <is>
        <t>902</t>
      </is>
    </nc>
  </rcc>
  <rcc rId="956" sId="1">
    <nc r="C316" t="inlineStr">
      <is>
        <t>0409</t>
      </is>
    </nc>
  </rcc>
  <rcc rId="957" sId="1">
    <nc r="C317" t="inlineStr">
      <is>
        <t>0409</t>
      </is>
    </nc>
  </rcc>
  <rcc rId="958" sId="1">
    <nc r="C318" t="inlineStr">
      <is>
        <t>0409</t>
      </is>
    </nc>
  </rcc>
  <rcc rId="959" sId="1">
    <nc r="C319" t="inlineStr">
      <is>
        <t>0409</t>
      </is>
    </nc>
  </rcc>
  <rcc rId="960" sId="1">
    <nc r="E319">
      <v>240</v>
    </nc>
  </rcc>
  <rcc rId="961" sId="1" numFmtId="4">
    <nc r="F319">
      <v>237733.5</v>
    </nc>
  </rcc>
  <rcc rId="962" sId="1">
    <nc r="F318">
      <f>F319</f>
    </nc>
  </rcc>
  <rcc rId="963" sId="1">
    <nc r="F317">
      <f>F318</f>
    </nc>
  </rcc>
  <rcc rId="964" sId="1">
    <nc r="F316">
      <f>F317</f>
    </nc>
  </rcc>
  <rcc rId="965" sId="1">
    <nc r="G319" t="inlineStr">
      <is>
        <t>237733,5</t>
      </is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6" sId="1">
    <oc r="F289">
      <f>F290+F305+F311</f>
    </oc>
    <nc r="F289">
      <f>F290+F305+F311+F316</f>
    </nc>
  </rcc>
  <rrc rId="967" sId="1" ref="A422:XFD422" action="insertRow"/>
  <rrc rId="968" sId="1" ref="A422:XFD422" action="insertRow"/>
  <rrc rId="969" sId="1" ref="A422:XFD422" action="insertRow"/>
  <rrc rId="970" sId="1" ref="A422:XFD422" action="insertRow"/>
  <rcc rId="971" sId="1">
    <nc r="A422" t="inlineStr">
      <is>
        <t>Муниципальная программа «Формирование современной городской среды на 2018-2022 годы» на территории городского округа «Город Южно-Сахалинск»</t>
      </is>
    </nc>
  </rcc>
  <rcc rId="972" sId="1">
    <nc r="A423" t="inlineStr">
      <is>
        <t>Приоритетный проект «Формирование современной городской среды»</t>
      </is>
    </nc>
  </rcc>
  <rcc rId="973" sId="1">
    <nc r="A424" t="inlineStr">
      <is>
        <t>Софинансирование субсидии на софинансирование расходных обязательств на поддержку муниципальной программы «Формирование современной городской среды на 2018-2022 годы» на территории городского округа «Город Южно-Сахалинск»</t>
      </is>
    </nc>
  </rcc>
  <rcc rId="974" sId="1">
    <nc r="A425" t="inlineStr">
      <is>
        <t>Иные закупки товаров, работ и услуг для обеспечения государственных (муниципальных) нужд</t>
      </is>
    </nc>
  </rcc>
  <rcc rId="975" sId="1">
    <nc r="B422">
      <v>902</v>
    </nc>
  </rcc>
  <rcc rId="976" sId="1">
    <nc r="B423">
      <v>902</v>
    </nc>
  </rcc>
  <rcc rId="977" sId="1">
    <nc r="B424">
      <v>902</v>
    </nc>
  </rcc>
  <rcc rId="978" sId="1">
    <nc r="B425">
      <v>902</v>
    </nc>
  </rcc>
  <rcc rId="979" sId="1">
    <nc r="C422" t="inlineStr">
      <is>
        <t>0503</t>
      </is>
    </nc>
  </rcc>
  <rcc rId="980" sId="1">
    <nc r="C423" t="inlineStr">
      <is>
        <t>0503</t>
      </is>
    </nc>
  </rcc>
  <rcc rId="981" sId="1">
    <nc r="C424" t="inlineStr">
      <is>
        <t>0503</t>
      </is>
    </nc>
  </rcc>
  <rcc rId="982" sId="1">
    <nc r="C425" t="inlineStr">
      <is>
        <t>0503</t>
      </is>
    </nc>
  </rcc>
  <rcc rId="983" sId="1">
    <nc r="D422" t="inlineStr">
      <is>
        <t>2500000000</t>
      </is>
    </nc>
  </rcc>
  <rcc rId="984" sId="1">
    <nc r="D423" t="inlineStr">
      <is>
        <t>2500100000</t>
      </is>
    </nc>
  </rcc>
  <rcc rId="985" sId="1">
    <nc r="D424" t="inlineStr">
      <is>
        <t>25001S555F</t>
      </is>
    </nc>
  </rcc>
  <rcc rId="986" sId="1">
    <nc r="D425" t="inlineStr">
      <is>
        <t>25001S555F</t>
      </is>
    </nc>
  </rcc>
  <rcc rId="987" sId="1">
    <nc r="E425">
      <v>240</v>
    </nc>
  </rcc>
  <rcc rId="988" sId="1" numFmtId="4">
    <nc r="F425">
      <v>25816.1</v>
    </nc>
  </rcc>
  <rcc rId="989" sId="1">
    <nc r="F424">
      <f>F425</f>
    </nc>
  </rcc>
  <rcc rId="990" sId="1">
    <nc r="F423">
      <f>F424</f>
    </nc>
  </rcc>
  <rcc rId="991" sId="1">
    <nc r="F422">
      <f>F423</f>
    </nc>
  </rcc>
  <rcc rId="992" sId="1">
    <nc r="G425" t="inlineStr">
      <is>
        <t>25816,1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3" sId="1">
    <oc r="G830" t="inlineStr">
      <is>
        <r>
          <t>150</t>
        </r>
        <r>
          <rPr>
            <b/>
            <u/>
            <sz val="12"/>
            <color rgb="FFFFFF00"/>
            <rFont val="Times New Roman"/>
            <family val="1"/>
            <charset val="204"/>
          </rPr>
          <t>;  3516</t>
        </r>
      </is>
    </oc>
    <nc r="G830" t="inlineStr">
      <is>
        <r>
          <t>150</t>
        </r>
        <r>
          <rPr>
            <b/>
            <u/>
            <sz val="12"/>
            <color rgb="FFFFFF00"/>
            <rFont val="Times New Roman"/>
            <family val="1"/>
            <charset val="204"/>
          </rPr>
          <t>;  3516; 2469,3</t>
        </r>
      </is>
    </nc>
  </rcc>
  <rcc rId="994" sId="1">
    <oc r="F830">
      <f>212967.9+11900+3600+150+3516</f>
    </oc>
    <nc r="F830">
      <f>212967.9+11900+3600+150+3516+2469.3</f>
    </nc>
  </rcc>
  <rcc rId="995" sId="1">
    <oc r="G831" t="inlineStr">
      <is>
        <t>9850; 4395</t>
      </is>
    </oc>
    <nc r="G831" t="inlineStr">
      <is>
        <t>9850; 4395; 3965,2</t>
      </is>
    </nc>
  </rcc>
  <rcc rId="996" sId="1">
    <oc r="F831">
      <f>320419.9-4069.9+9200+12100+9850+4395</f>
    </oc>
    <nc r="F831">
      <f>320419.9-4069.9+9200+12100+9850+4395+3965.2</f>
    </nc>
  </rcc>
  <rcc rId="997" sId="1">
    <oc r="G860">
      <v>9676.2000000000007</v>
    </oc>
    <nc r="G860" t="inlineStr">
      <is>
        <t xml:space="preserve">9676,2; </t>
      </is>
    </nc>
  </rcc>
  <rcc rId="998" sId="1">
    <oc r="G861">
      <v>20323.8</v>
    </oc>
    <nc r="G861" t="inlineStr">
      <is>
        <t xml:space="preserve">20323,8; </t>
      </is>
    </nc>
  </rcc>
  <rcc rId="999" sId="1">
    <oc r="F860">
      <f>41604+1550+9676.2</f>
    </oc>
    <nc r="F860">
      <f>41604+1550+9676.2</f>
    </nc>
  </rcc>
  <rcc rId="1000" sId="1">
    <oc r="F861">
      <f>54538.7+3376+20323.8</f>
    </oc>
    <nc r="F861">
      <f>54538.7+3376+20323.8</f>
    </nc>
  </rcc>
  <rcc rId="1001" sId="1" numFmtId="4">
    <oc r="G869">
      <v>1758</v>
    </oc>
    <nc r="G869" t="inlineStr">
      <is>
        <t>1758; 509,3</t>
      </is>
    </nc>
  </rcc>
  <rcc rId="1002" sId="1">
    <oc r="F869">
      <f>65528.4-333.3+3000+4100+1758</f>
    </oc>
    <nc r="F869">
      <f>65528.4-333.3+3000+4100+1758+509.3</f>
    </nc>
  </rcc>
  <rcc rId="1003" sId="1">
    <oc r="G870" t="inlineStr">
      <is>
        <t>10000;  4891,5</t>
      </is>
    </oc>
    <nc r="G870" t="inlineStr">
      <is>
        <t>10000;  4891,5; 452,5</t>
      </is>
    </nc>
  </rcc>
  <rcc rId="1004" sId="1">
    <oc r="F870">
      <f>145861.5-3330.1-394+9900+5100+10000+4891.5</f>
    </oc>
    <nc r="F870">
      <f>145861.5-3330.1-394+9900+5100+10000+4891.5+452.5</f>
    </nc>
  </rcc>
  <rcv guid="{FE5A4646-1F82-478B-AB34-931BAD185684}" action="delete"/>
  <rdn rId="0" localSheetId="1" customView="1" name="Z_FE5A4646_1F82_478B_AB34_931BAD185684_.wvu.PrintArea" hidden="1" oldHidden="1">
    <formula>январь!$A$6:$F$1585</formula>
    <oldFormula>январь!$A$6:$F$1585</oldFormula>
  </rdn>
  <rdn rId="0" localSheetId="1" customView="1" name="Z_FE5A4646_1F82_478B_AB34_931BAD185684_.wvu.PrintTitles" hidden="1" oldHidden="1">
    <formula>январь!$9:$10</formula>
    <oldFormula>январь!$9:$10</oldFormula>
  </rdn>
  <rdn rId="0" localSheetId="1" customView="1" name="Z_FE5A4646_1F82_478B_AB34_931BAD185684_.wvu.FilterData" hidden="1" oldHidden="1">
    <formula>январь!$A$10:$O$1586</formula>
    <oldFormula>январь!$A$10:$O$1586</oldFormula>
  </rdn>
  <rcv guid="{FE5A4646-1F82-478B-AB34-931BAD18568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414">
      <f>F415+F426</f>
    </oc>
    <nc r="F414">
      <f>F415+F426+F422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9" sId="1">
    <oc r="F1120">
      <f>F1121</f>
    </oc>
    <nc r="F1120">
      <f>F1121+F1122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0" sId="1" numFmtId="4">
    <oc r="F308">
      <v>227918.2</v>
    </oc>
    <nc r="F308">
      <f>227918.2-227918.2</f>
    </nc>
  </rcc>
  <rcc rId="1011" sId="1" numFmtId="4">
    <nc r="G308">
      <v>-227918.2</v>
    </nc>
  </rcc>
  <rfmt sheetId="1" sqref="G308">
    <dxf>
      <numFmt numFmtId="165" formatCode="#,##0.0"/>
    </dxf>
  </rfmt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F7D559D-0166-4787-B1BA-841D705C6F88}" action="delete"/>
  <rdn rId="0" localSheetId="1" customView="1" name="Z_CF7D559D_0166_4787_B1BA_841D705C6F88_.wvu.PrintArea" hidden="1" oldHidden="1">
    <formula>январь!$A$6:$F$1585</formula>
    <oldFormula>январь!$A$6:$F$1585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январь!$A$10:$O$1586</formula>
    <oldFormula>январь!$A$10:$O$1586</oldFormula>
  </rdn>
  <rcv guid="{CF7D559D-0166-4787-B1BA-841D705C6F88}" action="add"/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5" sId="1">
    <oc r="F310">
      <f>326400+2302.2+5265.6</f>
    </oc>
    <nc r="F310">
      <f>326400+2302.2+5265.6-333967.8</f>
    </nc>
  </rcc>
  <rcc rId="1016" sId="1">
    <nc r="G310" t="inlineStr">
      <is>
        <t>-333967,8</t>
      </is>
    </nc>
  </rcc>
  <rcc rId="1017" sId="1">
    <oc r="F418">
      <f>15816.1+8000</f>
    </oc>
    <nc r="F418">
      <f>15816.1+8000-23816.1</f>
    </nc>
  </rcc>
  <rcc rId="1018" sId="1">
    <nc r="G418" t="inlineStr">
      <is>
        <t>-23816,1</t>
      </is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F7D559D-0166-4787-B1BA-841D705C6F88}" action="delete"/>
  <rdn rId="0" localSheetId="1" customView="1" name="Z_CF7D559D_0166_4787_B1BA_841D705C6F88_.wvu.PrintArea" hidden="1" oldHidden="1">
    <formula>январь!$A$6:$F$1585</formula>
    <oldFormula>январь!$A$6:$F$1585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январь!$A$10:$O$1586</formula>
    <oldFormula>январь!$A$10:$O$1586</oldFormula>
  </rdn>
  <rcv guid="{CF7D559D-0166-4787-B1BA-841D705C6F88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4AAF578-B55E-4738-AF4B-ED62BC3A47E2}" action="delete"/>
  <rdn rId="0" localSheetId="1" customView="1" name="Z_74AAF578_B55E_4738_AF4B_ED62BC3A47E2_.wvu.PrintArea" hidden="1" oldHidden="1">
    <formula>' '!$A$1:$F$1516</formula>
    <oldFormula>' '!$A$1:$F$1516</oldFormula>
  </rdn>
  <rdn rId="0" localSheetId="1" customView="1" name="Z_74AAF578_B55E_4738_AF4B_ED62BC3A47E2_.wvu.PrintTitles" hidden="1" oldHidden="1">
    <formula>' '!$9:$10</formula>
    <oldFormula>' '!$9:$10</oldFormula>
  </rdn>
  <rdn rId="0" localSheetId="1" customView="1" name="Z_74AAF578_B55E_4738_AF4B_ED62BC3A47E2_.wvu.FilterData" hidden="1" oldHidden="1">
    <formula>' '!$A$9:$F$1517</formula>
    <oldFormula>' '!$A$9:$F$1517</oldFormula>
  </rdn>
  <rcv guid="{74AAF578-B55E-4738-AF4B-ED62BC3A47E2}" action="add"/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" sId="1" numFmtId="4">
    <oc r="F421">
      <v>2000</v>
    </oc>
    <nc r="F421">
      <f>2000-2000</f>
    </nc>
  </rcc>
  <rcc rId="1023" sId="1">
    <nc r="G421" t="inlineStr">
      <is>
        <t>-2000</t>
      </is>
    </nc>
  </rcc>
  <rrc rId="1024" sId="1" ref="A307:XFD307" action="insertRow"/>
  <rrc rId="1025" sId="1" ref="A307:XFD307" action="insertRow"/>
  <rcc rId="1026" sId="1">
    <nc r="A307" t="inlineStr">
      <is>
        <t>Иные обязательства, возникающие при реализации муниципальных программ</t>
      </is>
    </nc>
  </rcc>
  <rcc rId="1027" sId="1">
    <nc r="A308" t="inlineStr">
      <is>
        <t>Иные закупки товаров, работ и услуг для обеспечения государственных (муниципальных) нужд</t>
      </is>
    </nc>
  </rcc>
  <rcc rId="1028" sId="1">
    <nc r="B307" t="inlineStr">
      <is>
        <t>902</t>
      </is>
    </nc>
  </rcc>
  <rcc rId="1029" sId="1">
    <nc r="B308" t="inlineStr">
      <is>
        <t>902</t>
      </is>
    </nc>
  </rcc>
  <rcc rId="1030" sId="1">
    <nc r="C307" t="inlineStr">
      <is>
        <t>0409</t>
      </is>
    </nc>
  </rcc>
  <rcc rId="1031" sId="1">
    <nc r="C308" t="inlineStr">
      <is>
        <t>0409</t>
      </is>
    </nc>
  </rcc>
  <rcc rId="1032" sId="1">
    <nc r="D307" t="inlineStr">
      <is>
        <t>1200420990</t>
      </is>
    </nc>
  </rcc>
  <rcc rId="1033" sId="1">
    <nc r="D308" t="inlineStr">
      <is>
        <t>1200420990</t>
      </is>
    </nc>
  </rcc>
  <rcc rId="1034" sId="1">
    <nc r="E308">
      <v>240</v>
    </nc>
  </rcc>
  <rcc rId="1035" sId="1" numFmtId="4">
    <nc r="F308">
      <v>96234.3</v>
    </nc>
  </rcc>
  <rcc rId="1036" sId="1">
    <nc r="F307">
      <f>F308</f>
    </nc>
  </rcc>
  <rcc rId="1037" sId="1">
    <oc r="F306">
      <f>F309+F311</f>
    </oc>
    <nc r="F306">
      <f>F309+F311+F307</f>
    </nc>
  </rcc>
  <rcc rId="1038" sId="1" numFmtId="4">
    <nc r="G307">
      <v>96234.3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1" sId="1" numFmtId="4">
    <oc r="F321">
      <v>237733.5</v>
    </oc>
    <nc r="F321">
      <f>237733.5+200000</f>
    </nc>
  </rcc>
  <rcc rId="1082" sId="1">
    <oc r="G321" t="inlineStr">
      <is>
        <t>237733,5</t>
      </is>
    </oc>
    <nc r="G321" t="inlineStr">
      <is>
        <t>237733,5;   200000</t>
      </is>
    </nc>
  </rcc>
  <rcc rId="1083" sId="1">
    <nc r="G308" t="inlineStr">
      <is>
        <t>96234,3; 110000</t>
      </is>
    </nc>
  </rcc>
  <rcc rId="1084" sId="1" numFmtId="4">
    <oc r="G307">
      <v>96234.3</v>
    </oc>
    <nc r="G307"/>
  </rcc>
  <rcc rId="1085" sId="1" numFmtId="4">
    <oc r="F308">
      <v>96234.3</v>
    </oc>
    <nc r="F308">
      <f>96234.3+110000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6" sId="1" numFmtId="4">
    <oc r="F284">
      <v>27484.3</v>
    </oc>
    <nc r="F284">
      <f>27484.3-27484.3</f>
    </nc>
  </rcc>
  <rcc rId="1087" sId="1">
    <nc r="G284" t="inlineStr">
      <is>
        <t>-27484,3</t>
      </is>
    </nc>
  </rcc>
  <rfmt sheetId="1" sqref="G284">
    <dxf>
      <alignment horizontal="left" readingOrder="0"/>
    </dxf>
  </rfmt>
  <rcc rId="1088" sId="1" numFmtId="4">
    <oc r="F286">
      <v>277.60000000000002</v>
    </oc>
    <nc r="F286">
      <f>277.6-277.6</f>
    </nc>
  </rcc>
  <rcc rId="1089" sId="1">
    <nc r="G286" t="inlineStr">
      <is>
        <t>-277,6</t>
      </is>
    </nc>
  </rcc>
  <rfmt sheetId="1" sqref="G286">
    <dxf>
      <alignment horizontal="left" readingOrder="0"/>
    </dxf>
  </rfmt>
  <rcc rId="1090" sId="1">
    <oc r="F288">
      <f>45000+55000</f>
    </oc>
    <nc r="F288">
      <f>45000+55000-100000</f>
    </nc>
  </rcc>
  <rcc rId="1091" sId="1">
    <nc r="G288" t="inlineStr">
      <is>
        <t>-100000,0</t>
      </is>
    </nc>
  </rcc>
  <rcc rId="1092" sId="1">
    <oc r="F438">
      <f>30+270.6</f>
    </oc>
    <nc r="F438">
      <f>30+270.6-270.6</f>
    </nc>
  </rcc>
  <rcc rId="1093" sId="1">
    <nc r="G438" t="inlineStr">
      <is>
        <t>-270,6</t>
      </is>
    </nc>
  </rcc>
  <rrc rId="1094" sId="1" ref="A591:XFD591" action="insertRow"/>
  <rrc rId="1095" sId="1" ref="A591:XFD591" action="insertRow"/>
  <rcc rId="1096" sId="1">
    <nc r="A591" t="inlineStr">
      <is>
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  </is>
    </nc>
  </rcc>
  <rcc rId="1097" sId="1">
    <nc r="A592" t="inlineStr">
      <is>
    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    </is>
    </nc>
  </rcc>
  <rcc rId="1098" sId="1">
    <nc r="B591">
      <v>902</v>
    </nc>
  </rcc>
  <rcc rId="1099" sId="1">
    <nc r="B592">
      <v>902</v>
    </nc>
  </rcc>
  <rcc rId="1100" sId="1">
    <nc r="C591">
      <v>1004</v>
    </nc>
  </rcc>
  <rcc rId="1101" sId="1">
    <nc r="C592">
      <v>1004</v>
    </nc>
  </rcc>
  <rcc rId="1102" sId="1">
    <nc r="D591" t="inlineStr">
      <is>
        <t>01303R082Ф</t>
      </is>
    </nc>
  </rcc>
  <rcc rId="1103" sId="1">
    <nc r="D592" t="inlineStr">
      <is>
        <t>01303R082С</t>
      </is>
    </nc>
  </rcc>
  <rcc rId="1104" sId="1">
    <nc r="E591">
      <v>412</v>
    </nc>
  </rcc>
  <rcc rId="1105" sId="1">
    <nc r="E592">
      <v>412</v>
    </nc>
  </rcc>
  <rcc rId="1106" sId="1" numFmtId="4">
    <nc r="F591">
      <v>5389.8</v>
    </nc>
  </rcc>
  <rcc rId="1107" sId="1" numFmtId="4">
    <nc r="F592">
      <v>7144.6</v>
    </nc>
  </rcc>
  <rcc rId="1108" sId="1">
    <oc r="F590">
      <f>162465.6+7144.6+5389.8</f>
    </oc>
    <nc r="F590">
      <f>162465.6+F591+F592</f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9AAB4CD6-CA02-4F89-A251-5612382981E7}" action="delete"/>
  <rdn rId="0" localSheetId="1" customView="1" name="Z_9AAB4CD6_CA02_4F89_A251_5612382981E7_.wvu.PrintArea" hidden="1" oldHidden="1">
    <formula>январь!$A$1:$F$1595</formula>
    <oldFormula>январь!$A$6:$F$1595</oldFormula>
  </rdn>
  <rdn rId="0" localSheetId="1" customView="1" name="Z_9AAB4CD6_CA02_4F89_A251_5612382981E7_.wvu.PrintTitles" hidden="1" oldHidden="1">
    <formula>январь!$9:$10</formula>
    <oldFormula>январь!$9:$10</oldFormula>
  </rdn>
  <rdn rId="0" localSheetId="1" customView="1" name="Z_9AAB4CD6_CA02_4F89_A251_5612382981E7_.wvu.FilterData" hidden="1" oldHidden="1">
    <formula>январь!$A$10:$O$1596</formula>
    <oldFormula>январь!$A$10:$O$1596</oldFormula>
  </rdn>
  <rcv guid="{9AAB4CD6-CA02-4F89-A251-5612382981E7}" action="add"/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2" sId="1">
    <oc r="F296">
      <f>590259+64266.8-5265.6-261400</f>
    </oc>
    <nc r="F296">
      <f>590259+64266.8-5265.6-261400+16117</f>
    </nc>
  </rcc>
  <rcc rId="1113" sId="1" numFmtId="4">
    <nc r="G296">
      <v>16117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7" sId="1" numFmtId="4">
    <oc r="F24">
      <v>63626.8</v>
    </oc>
    <nc r="F24">
      <f>63626.8+2440.8</f>
    </nc>
  </rcc>
  <rcc rId="1118" sId="1" numFmtId="4">
    <nc r="G24">
      <v>2440.8000000000002</v>
    </nc>
  </rcc>
  <rfmt sheetId="1" sqref="G24" start="0" length="2147483647">
    <dxf>
      <font>
        <color theme="9" tint="0.39997558519241921"/>
      </font>
    </dxf>
  </rfmt>
  <rcc rId="1119" sId="1">
    <oc r="F30">
      <f>108266.4-42</f>
    </oc>
    <nc r="F30">
      <f>108266.4-42+3672.6</f>
    </nc>
  </rcc>
  <rcc rId="1120" sId="1" odxf="1" dxf="1" numFmtId="4">
    <nc r="G30">
      <v>3672.6</v>
    </nc>
    <ndxf>
      <font>
        <sz val="12"/>
        <color theme="9" tint="0.39997558519241921"/>
      </font>
    </ndxf>
  </rcc>
  <rcc rId="1121" sId="1" numFmtId="4">
    <oc r="F64">
      <v>409208</v>
    </oc>
    <nc r="F64">
      <f>409208+13478.5+13026.8</f>
    </nc>
  </rcc>
  <rcc rId="1122" sId="1" numFmtId="4">
    <nc r="G64">
      <v>13478.5</v>
    </nc>
  </rcc>
  <rcc rId="1123" sId="1" numFmtId="4">
    <nc r="H64">
      <v>13026.8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4" sId="1" ref="A362:XFD365" action="insertRow"/>
  <rcc rId="1125" sId="1">
    <nc r="A362" t="inlineStr">
      <is>
        <t>Субсидия на осуществление мероприятий по повышению качества предоставляемых жилищно-коммунальных услуг</t>
      </is>
    </nc>
  </rcc>
  <rcc rId="1126" sId="1">
    <nc r="C362" t="inlineStr">
      <is>
        <t>0501</t>
      </is>
    </nc>
  </rcc>
  <rcc rId="1127" sId="1">
    <nc r="D362" t="inlineStr">
      <is>
        <t>1200163060</t>
      </is>
    </nc>
  </rcc>
  <rcc rId="1128" sId="1">
    <nc r="F362">
      <f>F363</f>
    </nc>
  </rcc>
  <rfmt sheetId="1" sqref="G362" start="0" length="0">
    <dxf>
      <font>
        <sz val="14"/>
        <color auto="1"/>
      </font>
    </dxf>
  </rfmt>
  <rfmt sheetId="1" sqref="H362" start="0" length="0">
    <dxf>
      <font>
        <b/>
        <sz val="12"/>
        <color auto="1"/>
      </font>
      <alignment horizontal="left" readingOrder="0"/>
    </dxf>
  </rfmt>
  <rfmt sheetId="1" sqref="K362" start="0" length="0">
    <dxf>
      <font>
        <sz val="12"/>
        <color auto="1"/>
      </font>
      <numFmt numFmtId="0" formatCode="General"/>
      <alignment horizontal="general" readingOrder="0"/>
    </dxf>
  </rfmt>
  <rcc rId="1129" sId="1" odxf="1" dxf="1">
    <nc r="A363" t="inlineStr">
      <is>
        <t xml:space="preserve">Субсидии юридическим лицам (кроме некоммерческих организаций), индивидуальным предпринимателям, физическим лицам </t>
      </is>
    </nc>
    <odxf>
      <font>
        <sz val="12"/>
        <color auto="1"/>
      </font>
    </odxf>
    <ndxf>
      <font>
        <sz val="12"/>
        <color theme="1"/>
      </font>
    </ndxf>
  </rcc>
  <rcc rId="1130" sId="1">
    <nc r="C363" t="inlineStr">
      <is>
        <t>0501</t>
      </is>
    </nc>
  </rcc>
  <rcc rId="1131" sId="1">
    <nc r="D363" t="inlineStr">
      <is>
        <t>1200163060</t>
      </is>
    </nc>
  </rcc>
  <rfmt sheetId="1" sqref="G363" start="0" length="0">
    <dxf>
      <font>
        <sz val="14"/>
        <color auto="1"/>
      </font>
    </dxf>
  </rfmt>
  <rfmt sheetId="1" sqref="H363" start="0" length="0">
    <dxf>
      <font>
        <b/>
        <sz val="12"/>
        <color auto="1"/>
      </font>
      <alignment horizontal="left" readingOrder="0"/>
    </dxf>
  </rfmt>
  <rfmt sheetId="1" sqref="K363" start="0" length="0">
    <dxf>
      <font>
        <sz val="12"/>
        <color auto="1"/>
      </font>
      <numFmt numFmtId="0" formatCode="General"/>
      <alignment horizontal="general" readingOrder="0"/>
    </dxf>
  </rfmt>
  <rcc rId="1132" sId="1" odxf="1" dxf="1">
    <nc r="A364" t="inlineStr">
      <is>
        <t>Софинансирование субсидии на осуществление мероприятий по повышению качества предоставляемых жилищно-коммунальных услуг</t>
      </is>
    </nc>
    <odxf>
      <fill>
        <patternFill patternType="solid">
          <bgColor theme="0"/>
        </patternFill>
      </fill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readingOrder="0"/>
      <border outline="0">
        <left/>
        <right/>
        <top/>
        <bottom/>
      </border>
    </ndxf>
  </rcc>
  <rcc rId="1133" sId="1">
    <nc r="C364" t="inlineStr">
      <is>
        <t>0501</t>
      </is>
    </nc>
  </rcc>
  <rcc rId="1134" sId="1">
    <nc r="D364" t="inlineStr">
      <is>
        <t>12001S3060</t>
      </is>
    </nc>
  </rcc>
  <rcc rId="1135" sId="1">
    <nc r="F364">
      <f>F365</f>
    </nc>
  </rcc>
  <rfmt sheetId="1" sqref="G364" start="0" length="0">
    <dxf>
      <font>
        <sz val="14"/>
        <color auto="1"/>
      </font>
    </dxf>
  </rfmt>
  <rfmt sheetId="1" sqref="H364" start="0" length="0">
    <dxf>
      <font>
        <b/>
        <sz val="12"/>
        <color auto="1"/>
      </font>
      <alignment horizontal="left" readingOrder="0"/>
    </dxf>
  </rfmt>
  <rfmt sheetId="1" sqref="K364" start="0" length="0">
    <dxf>
      <font>
        <sz val="12"/>
        <color auto="1"/>
      </font>
      <numFmt numFmtId="0" formatCode="General"/>
      <alignment horizontal="general" readingOrder="0"/>
    </dxf>
  </rfmt>
  <rcc rId="1136" sId="1" odxf="1" dxf="1">
    <nc r="A365" t="inlineStr">
      <is>
        <t xml:space="preserve">Субсидии юридическим лицам (кроме некоммерческих организаций), индивидуальным предпринимателям, физическим лицам </t>
      </is>
    </nc>
    <odxf>
      <font>
        <sz val="12"/>
        <color auto="1"/>
      </font>
    </odxf>
    <ndxf>
      <font>
        <sz val="12"/>
        <color theme="1"/>
      </font>
    </ndxf>
  </rcc>
  <rcc rId="1137" sId="1">
    <nc r="C365" t="inlineStr">
      <is>
        <t>0501</t>
      </is>
    </nc>
  </rcc>
  <rcc rId="1138" sId="1">
    <nc r="D365" t="inlineStr">
      <is>
        <t>12001S3060</t>
      </is>
    </nc>
  </rcc>
  <rfmt sheetId="1" sqref="G365" start="0" length="0">
    <dxf>
      <font>
        <sz val="14"/>
        <color auto="1"/>
      </font>
    </dxf>
  </rfmt>
  <rfmt sheetId="1" sqref="H365" start="0" length="0">
    <dxf>
      <font>
        <b/>
        <sz val="12"/>
        <color auto="1"/>
      </font>
      <alignment horizontal="left" readingOrder="0"/>
    </dxf>
  </rfmt>
  <rfmt sheetId="1" sqref="K365" start="0" length="0">
    <dxf>
      <font>
        <sz val="12"/>
        <color auto="1"/>
      </font>
      <numFmt numFmtId="0" formatCode="General"/>
      <alignment horizontal="general" readingOrder="0"/>
    </dxf>
  </rfmt>
  <rcc rId="1139" sId="1">
    <nc r="B362">
      <v>902</v>
    </nc>
  </rcc>
  <rcc rId="1140" sId="1">
    <nc r="B363">
      <v>902</v>
    </nc>
  </rcc>
  <rcc rId="1141" sId="1">
    <nc r="B364">
      <v>902</v>
    </nc>
  </rcc>
  <rcc rId="1142" sId="1">
    <nc r="B365">
      <v>902</v>
    </nc>
  </rcc>
  <rcc rId="1143" sId="1">
    <nc r="E363">
      <v>240</v>
    </nc>
  </rcc>
  <rcc rId="1144" sId="1" numFmtId="4">
    <nc r="F363">
      <v>237600</v>
    </nc>
  </rcc>
  <rcc rId="1145" sId="1">
    <nc r="G363" t="inlineStr">
      <is>
        <t>237 600</t>
      </is>
    </nc>
  </rcc>
  <rcc rId="1146" sId="1">
    <nc r="E365">
      <v>40</v>
    </nc>
  </rcc>
  <rcc rId="1147" sId="1" numFmtId="4">
    <nc r="F365">
      <v>2400</v>
    </nc>
  </rcc>
  <rcc rId="1148" sId="1">
    <nc r="G365" t="inlineStr">
      <is>
        <t>2 400</t>
      </is>
    </nc>
  </rcc>
  <rcc rId="1149" sId="1">
    <oc r="F358">
      <f>F359</f>
    </oc>
    <nc r="F358">
      <f>F359+F362+F364</f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0" sId="1" numFmtId="4">
    <oc r="F739">
      <v>89998.8</v>
    </oc>
    <nc r="F739">
      <f>89998.8+3125.7</f>
    </nc>
  </rcc>
  <rcc rId="1151" sId="1" numFmtId="4">
    <nc r="G739">
      <v>3125.7</v>
    </nc>
  </rcc>
  <rfmt sheetId="1" sqref="G739">
    <dxf>
      <numFmt numFmtId="165" formatCode="#,##0.0"/>
    </dxf>
  </rfmt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" sId="1" numFmtId="4">
    <oc r="F703">
      <v>73118.5</v>
    </oc>
    <nc r="F703">
      <f>73118.5+1510.1</f>
    </nc>
  </rcc>
  <rcc rId="1153" sId="1" numFmtId="4">
    <nc r="G703">
      <v>1510.1</v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4" sId="1" numFmtId="4">
    <oc r="F775">
      <v>56475.5</v>
    </oc>
    <nc r="F775">
      <f>56475.5+1205</f>
    </nc>
  </rcc>
  <rcc rId="1155" sId="1">
    <nc r="G775" t="inlineStr">
      <is>
        <t>+1205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" sId="1">
    <nc r="H162" t="inlineStr">
      <is>
        <t>Б</t>
      </is>
    </nc>
  </rcc>
  <rcc rId="240" sId="1">
    <nc r="H163" t="inlineStr">
      <is>
        <t>Б</t>
      </is>
    </nc>
  </rcc>
  <rcc rId="241" sId="1">
    <nc r="H164" t="inlineStr">
      <is>
        <t>Б</t>
      </is>
    </nc>
  </rcc>
  <rcc rId="242" sId="1">
    <nc r="H166" t="inlineStr">
      <is>
        <t>Б</t>
      </is>
    </nc>
  </rcc>
  <rfmt sheetId="1" sqref="G275:G279" start="0" length="2147483647">
    <dxf>
      <font>
        <b/>
      </font>
    </dxf>
  </rfmt>
  <rcc rId="243" sId="1">
    <nc r="H275" t="inlineStr">
      <is>
        <t>Б</t>
      </is>
    </nc>
  </rcc>
  <rcc rId="244" sId="1">
    <nc r="H276" t="inlineStr">
      <is>
        <t>Б</t>
      </is>
    </nc>
  </rcc>
  <rcc rId="245" sId="1">
    <nc r="H277" t="inlineStr">
      <is>
        <t>Б</t>
      </is>
    </nc>
  </rcc>
  <rcc rId="246" sId="1">
    <nc r="H279" t="inlineStr">
      <is>
        <t>Б</t>
      </is>
    </nc>
  </rcc>
  <rfmt sheetId="1" sqref="H275:H279" start="0" length="2147483647">
    <dxf>
      <font>
        <b/>
      </font>
    </dxf>
  </rfmt>
  <rfmt sheetId="1" sqref="H275:H279" start="0" length="2147483647">
    <dxf>
      <font>
        <color rgb="FF390FB1"/>
      </font>
    </dxf>
  </rfmt>
  <rrc rId="247" sId="1" ref="A477:XFD477" action="insertRow"/>
  <rrc rId="248" sId="1" ref="A477:XFD477" action="insertRow"/>
  <rrc rId="249" sId="1" ref="A477:XFD478" action="insertRow"/>
  <rrc rId="250" sId="1" ref="A477:XFD477" action="insertRow"/>
  <rcc rId="251" sId="1" odxf="1" dxf="1">
    <nc r="A477" t="inlineStr">
      <is>
        <t>Муниципальная программа "Развитие транспортной инфраструктуры и дорожного хозяйства городского округа "Город Южно-Сахалинск" на 2015-2020 годы"</t>
      </is>
    </nc>
    <odxf>
      <font>
        <sz val="12"/>
        <color theme="1"/>
      </font>
      <fill>
        <patternFill patternType="solid">
          <bgColor theme="0"/>
        </patternFill>
      </fill>
    </odxf>
    <ndxf>
      <font>
        <sz val="12"/>
        <color auto="1"/>
      </font>
      <fill>
        <patternFill patternType="none">
          <bgColor indexed="65"/>
        </patternFill>
      </fill>
    </ndxf>
  </rcc>
  <rcc rId="252" sId="1">
    <nc r="B477" t="inlineStr">
      <is>
        <t>902</t>
      </is>
    </nc>
  </rcc>
  <rcc rId="253" sId="1">
    <nc r="C477" t="inlineStr">
      <is>
        <t>1003</t>
      </is>
    </nc>
  </rcc>
  <rcc rId="254" sId="1" odxf="1" dxf="1">
    <nc r="D477" t="inlineStr">
      <is>
        <t>0900000000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5" sId="1" odxf="1" dxf="1">
    <nc r="F477">
      <f>F478</f>
    </nc>
    <odxf>
      <font>
        <sz val="12"/>
        <color theme="1"/>
      </font>
      <fill>
        <patternFill patternType="none">
          <bgColor indexed="65"/>
        </patternFill>
      </fill>
    </odxf>
    <ndxf>
      <font>
        <sz val="12"/>
        <color auto="1"/>
      </font>
      <fill>
        <patternFill patternType="solid">
          <bgColor theme="0"/>
        </patternFill>
      </fill>
    </ndxf>
  </rcc>
  <rcc rId="256" sId="1" odxf="1" dxf="1">
    <nc r="A478" t="inlineStr">
      <is>
        <t>Подпрограмма "Повышение безопасности дорожного движения на территории городского округа "Город Южно-Сахалинск" на период 2015-2020 годов"</t>
      </is>
    </nc>
    <odxf>
      <font>
        <sz val="12"/>
        <color theme="1"/>
      </font>
      <fill>
        <patternFill patternType="solid">
          <bgColor theme="0"/>
        </patternFill>
      </fill>
    </odxf>
    <ndxf>
      <font>
        <sz val="12"/>
        <color auto="1"/>
      </font>
      <fill>
        <patternFill patternType="none">
          <bgColor indexed="65"/>
        </patternFill>
      </fill>
    </ndxf>
  </rcc>
  <rcc rId="257" sId="1">
    <nc r="B478" t="inlineStr">
      <is>
        <t>902</t>
      </is>
    </nc>
  </rcc>
  <rcc rId="258" sId="1">
    <nc r="C478" t="inlineStr">
      <is>
        <t>1003</t>
      </is>
    </nc>
  </rcc>
  <rcc rId="259" sId="1" odxf="1" dxf="1">
    <nc r="D478" t="inlineStr">
      <is>
        <t>0920000000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60" sId="1" odxf="1" dxf="1">
    <nc r="F478">
      <f>F479</f>
    </nc>
    <odxf>
      <font>
        <sz val="12"/>
        <color theme="1"/>
      </font>
      <fill>
        <patternFill patternType="none">
          <bgColor indexed="65"/>
        </patternFill>
      </fill>
    </odxf>
    <ndxf>
      <font>
        <sz val="12"/>
        <color auto="1"/>
      </font>
      <fill>
        <patternFill patternType="solid">
          <bgColor theme="0"/>
        </patternFill>
      </fill>
    </ndxf>
  </rcc>
  <rcc rId="261" sId="1">
    <nc r="A479" t="inlineStr">
      <is>
        <t>Повышение безопасности пассажирских перевозок</t>
      </is>
    </nc>
  </rcc>
  <rcc rId="262" sId="1">
    <nc r="B479" t="inlineStr">
      <is>
        <t>902</t>
      </is>
    </nc>
  </rcc>
  <rcc rId="263" sId="1">
    <nc r="C479" t="inlineStr">
      <is>
        <t>1003</t>
      </is>
    </nc>
  </rcc>
  <rcc rId="264" sId="1" odxf="1" dxf="1">
    <nc r="D479" t="inlineStr">
      <is>
        <t>0920700000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65" sId="1" odxf="1" dxf="1">
    <nc r="F479">
      <f>F480</f>
    </nc>
    <odxf>
      <font>
        <sz val="12"/>
        <color theme="1"/>
      </font>
      <fill>
        <patternFill patternType="none">
          <bgColor indexed="65"/>
        </patternFill>
      </fill>
    </odxf>
    <ndxf>
      <font>
        <sz val="12"/>
        <color auto="1"/>
      </font>
      <fill>
        <patternFill patternType="solid">
          <bgColor theme="0"/>
        </patternFill>
      </fill>
    </ndxf>
  </rcc>
  <rcc rId="266" sId="1">
    <nc r="A480" t="inlineStr">
      <is>
        <t>Возмещение расходов на оплату стоимости найма (поднайма), аренды жилых помещений</t>
      </is>
    </nc>
  </rcc>
  <rcc rId="267" sId="1">
    <nc r="B480" t="inlineStr">
      <is>
        <t>902</t>
      </is>
    </nc>
  </rcc>
  <rcc rId="268" sId="1">
    <nc r="C480" t="inlineStr">
      <is>
        <t>1003</t>
      </is>
    </nc>
  </rcc>
  <rcc rId="269" sId="1" odxf="1" dxf="1">
    <nc r="D480" t="inlineStr">
      <is>
        <t>0920740119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480" start="0" length="0">
    <dxf>
      <numFmt numFmtId="3" formatCode="#,##0"/>
    </dxf>
  </rfmt>
  <rcc rId="270" sId="1" odxf="1" dxf="1">
    <nc r="F480">
      <f>F481</f>
    </nc>
    <odxf>
      <font>
        <sz val="12"/>
        <color theme="1"/>
      </font>
      <fill>
        <patternFill patternType="none">
          <bgColor indexed="65"/>
        </patternFill>
      </fill>
    </odxf>
    <ndxf>
      <font>
        <sz val="12"/>
        <color auto="1"/>
      </font>
      <fill>
        <patternFill patternType="solid">
          <bgColor theme="0"/>
        </patternFill>
      </fill>
    </ndxf>
  </rcc>
  <rcc rId="271" sId="1">
    <nc r="A481" t="inlineStr">
      <is>
        <t>Публичные нормативные социальные выплаты гражданам</t>
      </is>
    </nc>
  </rcc>
  <rcc rId="272" sId="1">
    <nc r="B481" t="inlineStr">
      <is>
        <t>902</t>
      </is>
    </nc>
  </rcc>
  <rcc rId="273" sId="1">
    <nc r="C481" t="inlineStr">
      <is>
        <t>1003</t>
      </is>
    </nc>
  </rcc>
  <rcc rId="274" sId="1" odxf="1" dxf="1">
    <nc r="D481" t="inlineStr">
      <is>
        <t>0920740119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5" sId="1" odxf="1" dxf="1" numFmtId="4">
    <nc r="E481">
      <v>310</v>
    </nc>
    <odxf>
      <numFmt numFmtId="0" formatCode="General"/>
    </odxf>
    <ndxf>
      <numFmt numFmtId="3" formatCode="#,##0"/>
    </ndxf>
  </rcc>
  <rfmt sheetId="1" sqref="F481" start="0" length="0">
    <dxf>
      <font>
        <sz val="12"/>
        <color auto="1"/>
      </font>
      <fill>
        <patternFill patternType="solid">
          <bgColor theme="0"/>
        </patternFill>
      </fill>
    </dxf>
  </rfmt>
  <rcc rId="276" sId="1" numFmtId="4">
    <nc r="F481">
      <v>279.60000000000002</v>
    </nc>
  </rcc>
  <rcc rId="277" sId="1">
    <oc r="F476">
      <f>F482+F507+F490+F560+F565</f>
    </oc>
    <nc r="F476">
      <f>F482+F507+F490+F560+F565+F477</f>
    </nc>
  </rcc>
  <rfmt sheetId="1" sqref="G481">
    <dxf>
      <numFmt numFmtId="30" formatCode="@"/>
    </dxf>
  </rfmt>
  <rcc rId="278" sId="1" numFmtId="30">
    <nc r="G481" t="inlineStr">
      <is>
        <t>+279,6</t>
      </is>
    </nc>
  </rcc>
  <rfmt sheetId="1" sqref="G481" start="0" length="2147483647">
    <dxf>
      <font>
        <color rgb="FF390FB1"/>
      </font>
    </dxf>
  </rfmt>
  <rfmt sheetId="1" sqref="G481" start="0" length="2147483647">
    <dxf>
      <font>
        <b/>
      </font>
    </dxf>
  </rfmt>
  <rcc rId="279" sId="1">
    <nc r="H481" t="inlineStr">
      <is>
        <t>Б</t>
      </is>
    </nc>
  </rcc>
  <rfmt sheetId="1" sqref="H481" start="0" length="2147483647">
    <dxf>
      <font>
        <b/>
      </font>
    </dxf>
  </rfmt>
  <rfmt sheetId="1" sqref="H481" start="0" length="2147483647">
    <dxf>
      <font>
        <color rgb="FF390FB1"/>
      </font>
    </dxf>
  </rfmt>
  <rcc rId="280" sId="1">
    <nc r="G564" t="inlineStr">
      <is>
        <t>-279,6</t>
      </is>
    </nc>
  </rcc>
  <rfmt sheetId="1" sqref="G564:H564" start="0" length="2147483647">
    <dxf>
      <font>
        <color rgb="FF390FB1"/>
      </font>
    </dxf>
  </rfmt>
  <rfmt sheetId="1" sqref="G564:H564" start="0" length="2147483647">
    <dxf>
      <font>
        <b val="0"/>
      </font>
    </dxf>
  </rfmt>
  <rfmt sheetId="1" sqref="G564:H564" start="0" length="2147483647">
    <dxf>
      <font>
        <b/>
      </font>
    </dxf>
  </rfmt>
  <rcc rId="281" sId="1" numFmtId="4">
    <oc r="F564">
      <v>279.60000000000002</v>
    </oc>
    <nc r="F564">
      <v>0</v>
    </nc>
  </rcc>
  <rcc rId="282" sId="1">
    <nc r="H564" t="inlineStr">
      <is>
        <t>Б</t>
      </is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6" sId="1" numFmtId="4">
    <oc r="F779">
      <v>38069.9</v>
    </oc>
    <nc r="F779">
      <f>38069.9+723.9</f>
    </nc>
  </rcc>
  <rcc rId="1157" sId="1">
    <nc r="G779" t="inlineStr">
      <is>
        <t>+723,9</t>
      </is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8" sId="1" numFmtId="4">
    <oc r="F1598">
      <v>29063.8</v>
    </oc>
    <nc r="F1598">
      <f>29063.8+973.2</f>
    </nc>
  </rcc>
  <rcc rId="1159" sId="1" numFmtId="4">
    <nc r="G1598">
      <v>973.2</v>
    </nc>
  </rcc>
  <rcc rId="1160" sId="1" numFmtId="4">
    <oc r="F1591">
      <v>15108</v>
    </oc>
    <nc r="F1591">
      <f>15108+570.4</f>
    </nc>
  </rcc>
  <rcc rId="1161" sId="1">
    <nc r="G1591">
      <v>570.4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2" sId="1" numFmtId="4">
    <oc r="F1448">
      <v>81221.2</v>
    </oc>
    <nc r="F1448">
      <f>81221.2+1411.2</f>
    </nc>
  </rcc>
  <rcc rId="1163" sId="1" numFmtId="4">
    <nc r="G1448">
      <v>1411.2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4" sId="1" numFmtId="4">
    <oc r="F1443">
      <v>106380</v>
    </oc>
    <nc r="F1443">
      <f>106380+1681.1</f>
    </nc>
  </rcc>
  <rcc rId="1165" sId="1">
    <nc r="G1443" t="inlineStr">
      <is>
        <t>1681,1</t>
      </is>
    </nc>
  </rcc>
  <rfmt sheetId="1" sqref="G1443" start="0" length="2147483647">
    <dxf>
      <font>
        <color theme="9" tint="0.39997558519241921"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6" sId="1" numFmtId="4">
    <oc r="F1243">
      <v>29040</v>
    </oc>
    <nc r="F1243">
      <f>29040+1044.3</f>
    </nc>
  </rcc>
  <rcc rId="1167" sId="1" numFmtId="4">
    <nc r="G1243">
      <v>1044.3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8" sId="1" ref="A1723:XFD1723" action="insertRow"/>
  <rcc rId="1169" sId="1">
    <nc r="A1723" t="inlineStr">
      <is>
        <t>0409                    2500100000</t>
      </is>
    </nc>
  </rcc>
  <rcc rId="1170" sId="1" numFmtId="4">
    <nc r="D1723">
      <v>437733.5</v>
    </nc>
  </rcc>
  <rcc rId="1171" sId="1">
    <nc r="F1723">
      <f>B1723-D1723</f>
    </nc>
  </rcc>
  <rcc rId="1172" sId="1" numFmtId="4">
    <nc r="B1723">
      <f>F318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3" sId="1" numFmtId="4">
    <oc r="F1236">
      <v>24345.3</v>
    </oc>
    <nc r="F1236">
      <f>24345.3+904.8</f>
    </nc>
  </rcc>
  <rcc rId="1174" sId="1" numFmtId="4">
    <nc r="G1236">
      <v>904.8</v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5" sId="1">
    <oc r="F703">
      <f>73118.5+1510.1</f>
    </oc>
    <nc r="F703">
      <f>73118.5+1510.1+6636.9</f>
    </nc>
  </rcc>
  <rcc rId="1176" sId="1" numFmtId="4">
    <nc r="H703">
      <v>6636.9</v>
    </nc>
  </rcc>
  <rfmt sheetId="1" sqref="H703">
    <dxf>
      <numFmt numFmtId="165" formatCode="#,##0.0"/>
    </dxf>
  </rfmt>
  <rfmt sheetId="1" sqref="H703" start="0" length="2147483647">
    <dxf>
      <font>
        <color theme="9" tint="0.39997558519241921"/>
      </font>
    </dxf>
  </rfmt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9" sId="1">
    <oc r="B1717">
      <f>F1325</f>
    </oc>
    <nc r="B1717">
      <f>F1325+F308</f>
    </nc>
  </rcc>
  <rcc rId="1190" sId="1">
    <oc r="B1757">
      <f>F1346</f>
    </oc>
    <nc r="B1757">
      <f>F1346+F362</f>
    </nc>
  </rcc>
  <rcc rId="1191" sId="1">
    <oc r="B1758">
      <f>F1348</f>
    </oc>
    <nc r="B1758">
      <f>F1348+F364</f>
    </nc>
  </rcc>
  <rcc rId="1192" sId="1" numFmtId="4">
    <oc r="D1710">
      <v>696817.6</v>
    </oc>
    <nc r="D1710">
      <v>940852.8</v>
    </nc>
  </rcc>
  <rrc rId="1193" sId="1" ref="A1814:XFD1814" action="insertRow"/>
  <rcc rId="1194" sId="1">
    <nc r="A1814" t="inlineStr">
      <is>
        <t>0503                    2500100000</t>
      </is>
    </nc>
  </rcc>
  <rcc rId="1195" sId="1">
    <nc r="B1814">
      <f>F428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F7D559D-0166-4787-B1BA-841D705C6F88}" action="delete"/>
  <rdn rId="0" localSheetId="1" customView="1" name="Z_CF7D559D_0166_4787_B1BA_841D705C6F88_.wvu.PrintArea" hidden="1" oldHidden="1">
    <formula>январь!$A$6:$F$1610</formula>
    <oldFormula>январь!$A$6:$F$1610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январь!$A$10:$O$1611</formula>
    <oldFormula>январь!$A$10:$O$1611</oldFormula>
  </rdn>
  <rcv guid="{CF7D559D-0166-4787-B1BA-841D705C6F88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4" sId="1" odxf="1" dxf="1">
    <nc r="H274" t="inlineStr">
      <is>
        <t>Б</t>
      </is>
    </nc>
    <odxf>
      <font>
        <b val="0"/>
        <color auto="1"/>
      </font>
    </odxf>
    <ndxf>
      <font>
        <b/>
        <color rgb="FF390FB1"/>
      </font>
    </ndxf>
  </rcc>
  <rcc rId="295" sId="1">
    <oc r="F273">
      <f>F280+F284+F282+F274</f>
    </oc>
    <nc r="F273">
      <f>F280+F284+F282+F274+F278</f>
    </nc>
  </rcc>
  <rcc rId="296" sId="1" odxf="1" dxf="1">
    <nc r="H477" t="inlineStr">
      <is>
        <t>Б</t>
      </is>
    </nc>
    <odxf>
      <font>
        <b val="0"/>
        <color auto="1"/>
      </font>
    </odxf>
    <ndxf>
      <font>
        <b/>
        <color rgb="FF390FB1"/>
      </font>
    </ndxf>
  </rcc>
  <rcc rId="297" sId="1" odxf="1" dxf="1">
    <nc r="H478" t="inlineStr">
      <is>
        <t>Б</t>
      </is>
    </nc>
    <odxf>
      <font>
        <b val="0"/>
        <color auto="1"/>
      </font>
    </odxf>
    <ndxf>
      <font>
        <b/>
        <color rgb="FF390FB1"/>
      </font>
    </ndxf>
  </rcc>
  <rcc rId="298" sId="1" odxf="1" dxf="1">
    <nc r="H479" t="inlineStr">
      <is>
        <t>Б</t>
      </is>
    </nc>
    <odxf>
      <font>
        <b val="0"/>
        <color auto="1"/>
      </font>
    </odxf>
    <ndxf>
      <font>
        <b/>
        <color rgb="FF390FB1"/>
      </font>
    </ndxf>
  </rcc>
  <rcc rId="299" sId="1" odxf="1" dxf="1">
    <nc r="H480" t="inlineStr">
      <is>
        <t>Б</t>
      </is>
    </nc>
    <odxf>
      <font>
        <b val="0"/>
        <color auto="1"/>
      </font>
    </odxf>
    <ndxf>
      <font>
        <b/>
        <color rgb="FF390FB1"/>
      </font>
    </ndxf>
  </rcc>
  <rcc rId="300" sId="1">
    <nc r="H278" t="inlineStr">
      <is>
        <t>Б</t>
      </is>
    </nc>
  </rcc>
  <rcv guid="{219F7EAD-D730-4D71-9324-77D1678FEC49}" action="delete"/>
  <rdn rId="0" localSheetId="1" customView="1" name="Z_219F7EAD_D730_4D71_9324_77D1678FEC49_.wvu.PrintArea" hidden="1" oldHidden="1">
    <formula>' '!$A$6:$F$1521</formula>
    <oldFormula>' '!$A$6:$F$1521</oldFormula>
  </rdn>
  <rdn rId="0" localSheetId="1" customView="1" name="Z_219F7EAD_D730_4D71_9324_77D1678FEC49_.wvu.PrintTitles" hidden="1" oldHidden="1">
    <formula>' '!$9:$10</formula>
    <oldFormula>' '!$9:$10</oldFormula>
  </rdn>
  <rdn rId="0" localSheetId="1" customView="1" name="Z_219F7EAD_D730_4D71_9324_77D1678FEC49_.wvu.FilterData" hidden="1" oldHidden="1">
    <formula>' '!$A$10:$O$1521</formula>
    <oldFormula>' '!$A$10:$F$10</oldFormula>
  </rdn>
  <rcv guid="{219F7EAD-D730-4D71-9324-77D1678FEC49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6AD508C-AEED-43C7-976B-DD33C28CD830}" action="delete"/>
  <rdn rId="0" localSheetId="1" customView="1" name="Z_A6AD508C_AEED_43C7_976B_DD33C28CD830_.wvu.PrintArea" hidden="1" oldHidden="1">
    <formula>январь!$A$6:$F$1610</formula>
    <oldFormula>январь!$A$6:$F$1610</oldFormula>
  </rdn>
  <rdn rId="0" localSheetId="1" customView="1" name="Z_A6AD508C_AEED_43C7_976B_DD33C28CD830_.wvu.PrintTitles" hidden="1" oldHidden="1">
    <formula>январь!$9:$10</formula>
    <oldFormula>январь!$9:$10</oldFormula>
  </rdn>
  <rdn rId="0" localSheetId="1" customView="1" name="Z_A6AD508C_AEED_43C7_976B_DD33C28CD830_.wvu.FilterData" hidden="1" oldHidden="1">
    <formula>январь!$A$10:$F$1611</formula>
    <oldFormula>январь!$A$10:$F$1611</oldFormula>
  </rdn>
  <rcv guid="{A6AD508C-AEED-43C7-976B-DD33C28CD830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5" sId="1" ref="A1206:XFD1206" action="insertRow"/>
  <rrc rId="1286" sId="1" ref="A1206:XFD1206" action="insertRow"/>
  <rcc rId="1287" sId="1">
    <nc r="A1206" t="inlineStr">
      <is>
        <t>Расходы на обеспечение деятельности (оказание услуг) муниципальных учреждений</t>
      </is>
    </nc>
  </rcc>
  <rcc rId="1288" sId="1">
    <nc r="D1206" t="inlineStr">
      <is>
        <t>1900600590</t>
      </is>
    </nc>
  </rcc>
  <rcc rId="1289" sId="1">
    <nc r="E1207">
      <v>620</v>
    </nc>
  </rcc>
  <rcc rId="1290" sId="1">
    <nc r="A1207" t="inlineStr">
      <is>
        <t xml:space="preserve">Субсидии автономным учреждениям </t>
      </is>
    </nc>
  </rcc>
  <rcc rId="1291" sId="1">
    <nc r="B1206" t="inlineStr">
      <is>
        <t>913</t>
      </is>
    </nc>
  </rcc>
  <rcc rId="1292" sId="1">
    <nc r="C1206" t="inlineStr">
      <is>
        <t>0801</t>
      </is>
    </nc>
  </rcc>
  <rcc rId="1293" sId="1">
    <nc r="B1207" t="inlineStr">
      <is>
        <t>913</t>
      </is>
    </nc>
  </rcc>
  <rcc rId="1294" sId="1">
    <nc r="C1207" t="inlineStr">
      <is>
        <t>0801</t>
      </is>
    </nc>
  </rcc>
  <rcc rId="1295" sId="1">
    <nc r="D1207" t="inlineStr">
      <is>
        <t>1900600590</t>
      </is>
    </nc>
  </rcc>
  <rcc rId="1296" sId="1">
    <oc r="F1205">
      <f>F1208</f>
    </oc>
    <nc r="F1205">
      <f>F1208+F1206</f>
    </nc>
  </rcc>
  <rcc rId="1297" sId="1">
    <nc r="F1206">
      <f>F1207</f>
    </nc>
  </rcc>
  <rcc rId="1298" sId="1" numFmtId="4">
    <nc r="F1207">
      <v>26856.2</v>
    </nc>
  </rcc>
  <rcc rId="1299" sId="1" numFmtId="4">
    <nc r="G1207">
      <v>26856.2</v>
    </nc>
  </rcc>
  <rfmt sheetId="1" sqref="G1207" start="0" length="2147483647">
    <dxf>
      <font>
        <color rgb="FFFF0000"/>
      </font>
    </dxf>
  </rfmt>
  <rfmt sheetId="1" sqref="G1207" start="0" length="2147483647">
    <dxf>
      <font>
        <b/>
      </font>
    </dxf>
  </rfmt>
  <rfmt sheetId="1" sqref="G1207">
    <dxf>
      <numFmt numFmtId="165" formatCode="#,##0.0"/>
    </dxf>
  </rfmt>
  <rfmt sheetId="1" sqref="G1207">
    <dxf>
      <numFmt numFmtId="169" formatCode="\+0.0"/>
    </dxf>
  </rfmt>
  <rcv guid="{A6AD508C-AEED-43C7-976B-DD33C28CD830}" action="delete"/>
  <rdn rId="0" localSheetId="1" customView="1" name="Z_A6AD508C_AEED_43C7_976B_DD33C28CD830_.wvu.PrintArea" hidden="1" oldHidden="1">
    <formula>январь!$A$6:$F$1612</formula>
    <oldFormula>январь!$A$6:$F$1612</oldFormula>
  </rdn>
  <rdn rId="0" localSheetId="1" customView="1" name="Z_A6AD508C_AEED_43C7_976B_DD33C28CD830_.wvu.PrintTitles" hidden="1" oldHidden="1">
    <formula>январь!$9:$10</formula>
    <oldFormula>январь!$9:$10</oldFormula>
  </rdn>
  <rdn rId="0" localSheetId="1" customView="1" name="Z_A6AD508C_AEED_43C7_976B_DD33C28CD830_.wvu.FilterData" hidden="1" oldHidden="1">
    <formula>январь!$A$10:$F$1613</formula>
    <oldFormula>январь!$A$10:$F$1613</oldFormula>
  </rdn>
  <rcv guid="{A6AD508C-AEED-43C7-976B-DD33C28CD830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207:F1207">
    <dxf>
      <fill>
        <patternFill>
          <bgColor rgb="FFFFFF00"/>
        </patternFill>
      </fill>
    </dxf>
  </rfmt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3" sId="1">
    <oc r="F1145">
      <f>F1146</f>
    </oc>
    <nc r="F1145">
      <f>F1146+F1147</f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142:F1142">
    <dxf>
      <fill>
        <patternFill>
          <bgColor rgb="FFFFFF00"/>
        </patternFill>
      </fill>
    </dxf>
  </rfmt>
  <rfmt sheetId="1" sqref="D1147:F1147">
    <dxf>
      <fill>
        <patternFill>
          <bgColor rgb="FFFFFF00"/>
        </patternFill>
      </fill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" sId="1" numFmtId="4">
    <nc r="G1165">
      <v>826.4</v>
    </nc>
  </rcc>
  <rcc rId="1305" sId="1" numFmtId="4">
    <oc r="F1165">
      <v>365517.2</v>
    </oc>
    <nc r="F1165">
      <f>365517.2+826.4</f>
    </nc>
  </rcc>
  <rfmt sheetId="1" sqref="G1165">
    <dxf>
      <numFmt numFmtId="169" formatCode="\+0.0"/>
    </dxf>
  </rfmt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663216F-E4C5-4B4E-838D-07E5C6B7FB5D}" action="delete"/>
  <rdn rId="0" localSheetId="1" customView="1" name="Z_1663216F_E4C5_4B4E_838D_07E5C6B7FB5D_.wvu.PrintArea" hidden="1" oldHidden="1">
    <formula>январь!$A$6:$F$1612</formula>
    <oldFormula>январь!$A$6:$F$1612</oldFormula>
  </rdn>
  <rdn rId="0" localSheetId="1" customView="1" name="Z_1663216F_E4C5_4B4E_838D_07E5C6B7FB5D_.wvu.PrintTitles" hidden="1" oldHidden="1">
    <formula>январь!$9:$10</formula>
    <oldFormula>январь!$9:$10</oldFormula>
  </rdn>
  <rdn rId="0" localSheetId="1" customView="1" name="Z_1663216F_E4C5_4B4E_838D_07E5C6B7FB5D_.wvu.FilterData" hidden="1" oldHidden="1">
    <formula>январь!$A$10:$O$1613</formula>
    <oldFormula>январь!$A$10:$O$1613</oldFormula>
  </rdn>
  <rcv guid="{1663216F-E4C5-4B4E-838D-07E5C6B7FB5D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9" sId="1" ref="A1502:XFD1502" action="insertRow"/>
  <rrc rId="1310" sId="1" ref="A1502:XFD1502" action="insertRow"/>
  <rcc rId="1311" sId="1">
    <nc r="A1502" t="inlineStr">
      <is>
        <t>Софинансирование мероприятий государственной программы Сахалинской области «Развитие внутреннего и въездного туризма в Сахалинской области на 2017-2022 годы»</t>
      </is>
    </nc>
  </rcc>
  <rcc rId="1312" sId="1">
    <nc r="B1502">
      <v>918</v>
    </nc>
  </rcc>
  <rcc rId="1313" sId="1">
    <nc r="C1502" t="inlineStr">
      <is>
        <t>0412</t>
      </is>
    </nc>
  </rcc>
  <rcc rId="1314" sId="1">
    <nc r="B1503">
      <v>918</v>
    </nc>
  </rcc>
  <rcc rId="1315" sId="1">
    <nc r="C1503" t="inlineStr">
      <is>
        <t>0412</t>
      </is>
    </nc>
  </rcc>
  <rcc rId="1316" sId="1">
    <nc r="A1503" t="inlineStr">
      <is>
        <t>Иные закупки товаров, работ и услуг для обеспечения государственных (муниципальных) нужд</t>
      </is>
    </nc>
  </rcc>
  <rcc rId="1317" sId="1">
    <nc r="E1503">
      <v>240</v>
    </nc>
  </rcc>
  <rcc rId="1318" sId="1">
    <nc r="F1502">
      <f>F1503</f>
    </nc>
  </rcc>
  <rcc rId="1319" sId="1" numFmtId="4">
    <nc r="F1503">
      <v>70.7</v>
    </nc>
  </rcc>
  <rcc rId="1320" sId="1">
    <nc r="G1503" t="inlineStr">
      <is>
        <t>+70,7</t>
      </is>
    </nc>
  </rcc>
  <rcc rId="1321" sId="1">
    <nc r="H1503" t="inlineStr">
      <is>
        <t>Б</t>
      </is>
    </nc>
  </rcc>
  <rfmt sheetId="1" sqref="H1503" start="0" length="2147483647">
    <dxf>
      <font>
        <color rgb="FF390FB1"/>
      </font>
    </dxf>
  </rfmt>
  <rfmt sheetId="1" sqref="G1503" start="0" length="2147483647">
    <dxf>
      <font>
        <color rgb="FF390FB1"/>
      </font>
    </dxf>
  </rfmt>
  <rcc rId="1322" sId="1">
    <nc r="G1499" t="inlineStr">
      <is>
        <t>-70,7</t>
      </is>
    </nc>
  </rcc>
  <rcc rId="1323" sId="1">
    <nc r="H1499" t="inlineStr">
      <is>
        <t>Б</t>
      </is>
    </nc>
  </rcc>
  <rfmt sheetId="1" sqref="G1499:H1499" start="0" length="2147483647">
    <dxf>
      <font>
        <color rgb="FF390FB1"/>
      </font>
    </dxf>
  </rfmt>
  <rcc rId="1324" sId="1" numFmtId="4">
    <oc r="F1499">
      <v>820</v>
    </oc>
    <nc r="F1499">
      <f>820-70.7</f>
    </nc>
  </rcc>
  <rcc rId="1325" sId="1">
    <oc r="F1497">
      <f>F1498+F1500</f>
    </oc>
    <nc r="F1497">
      <f>F1498+F1500+F1502</f>
    </nc>
  </rcc>
  <rcc rId="1326" sId="1">
    <nc r="D1502" t="inlineStr">
      <is>
        <t>24001S3300</t>
      </is>
    </nc>
  </rcc>
  <rcc rId="1327" sId="1">
    <nc r="D1503" t="inlineStr">
      <is>
        <t>24001S3300</t>
      </is>
    </nc>
  </rcc>
  <rcv guid="{219F7EAD-D730-4D71-9324-77D1678FEC49}" action="delete"/>
  <rdn rId="0" localSheetId="1" customView="1" name="Z_219F7EAD_D730_4D71_9324_77D1678FEC49_.wvu.PrintArea" hidden="1" oldHidden="1">
    <formula>январь!$A$6:$F$1614</formula>
    <oldFormula>январь!$A$6:$F$1614</oldFormula>
  </rdn>
  <rdn rId="0" localSheetId="1" customView="1" name="Z_219F7EAD_D730_4D71_9324_77D1678FEC49_.wvu.PrintTitles" hidden="1" oldHidden="1">
    <formula>январь!$9:$10</formula>
    <oldFormula>январь!$9:$10</oldFormula>
  </rdn>
  <rdn rId="0" localSheetId="1" customView="1" name="Z_219F7EAD_D730_4D71_9324_77D1678FEC49_.wvu.FilterData" hidden="1" oldHidden="1">
    <formula>январь!$A$10:$O$1615</formula>
    <oldFormula>январь!$A$10:$O$1614</oldFormula>
  </rdn>
  <rcv guid="{219F7EAD-D730-4D71-9324-77D1678FEC49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1" sId="1" numFmtId="4">
    <nc r="G1197">
      <v>297.8</v>
    </nc>
  </rcc>
  <rcc rId="1332" sId="1" numFmtId="4">
    <oc r="F1197">
      <v>176646.39999999999</v>
    </oc>
    <nc r="F1197">
      <f>176646.4+297.8</f>
    </nc>
  </rcc>
  <rfmt sheetId="1" sqref="G1197">
    <dxf>
      <numFmt numFmtId="169" formatCode="\+0.0"/>
    </dxf>
  </rfmt>
  <rcc rId="1333" sId="1" numFmtId="4">
    <oc r="F1200">
      <v>90526</v>
    </oc>
    <nc r="F1200">
      <f>90526+30.3</f>
    </nc>
  </rcc>
  <rcc rId="1334" sId="1" odxf="1" dxf="1" numFmtId="4">
    <nc r="G1200">
      <v>30.3</v>
    </nc>
    <ndxf>
      <numFmt numFmtId="169" formatCode="\+0.0"/>
    </ndxf>
  </rcc>
  <rcv guid="{A6AD508C-AEED-43C7-976B-DD33C28CD830}" action="delete"/>
  <rdn rId="0" localSheetId="1" customView="1" name="Z_A6AD508C_AEED_43C7_976B_DD33C28CD830_.wvu.PrintArea" hidden="1" oldHidden="1">
    <formula>январь!$A$6:$F$1614</formula>
    <oldFormula>январь!$A$6:$F$1614</oldFormula>
  </rdn>
  <rdn rId="0" localSheetId="1" customView="1" name="Z_A6AD508C_AEED_43C7_976B_DD33C28CD830_.wvu.PrintTitles" hidden="1" oldHidden="1">
    <formula>январь!$9:$10</formula>
    <oldFormula>январь!$9:$10</oldFormula>
  </rdn>
  <rdn rId="0" localSheetId="1" customView="1" name="Z_A6AD508C_AEED_43C7_976B_DD33C28CD830_.wvu.FilterData" hidden="1" oldHidden="1">
    <formula>январь!$A$10:$F$1615</formula>
    <oldFormula>январь!$A$10:$F$1615</oldFormula>
  </rdn>
  <rcv guid="{A6AD508C-AEED-43C7-976B-DD33C28CD830}" action="add"/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8" sId="1" numFmtId="4">
    <oc r="F1203">
      <v>349827.4</v>
    </oc>
    <nc r="F1203">
      <f>349827.4+793.1</f>
    </nc>
  </rcc>
  <rcc rId="1339" sId="1" numFmtId="4">
    <nc r="G1203">
      <v>793.1</v>
    </nc>
  </rcc>
  <rcc rId="1340" sId="1" numFmtId="4">
    <nc r="G1204">
      <v>1255.5999999999999</v>
    </nc>
  </rcc>
  <rcc rId="1341" sId="1" numFmtId="4">
    <oc r="F1204">
      <v>294101.40000000002</v>
    </oc>
    <nc r="F1204">
      <f>294101.4+1255.6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2" sId="1" ref="A1923:XFD1923" action="insertRow"/>
  <rcc rId="313" sId="1">
    <nc r="A1923" t="inlineStr">
      <is>
        <t>1003                    0920740119</t>
      </is>
    </nc>
  </rcc>
  <rcc rId="314" sId="1">
    <nc r="B1923">
      <f>F481</f>
    </nc>
  </rcc>
  <rcc rId="315" sId="1" numFmtId="4">
    <nc r="D1923">
      <v>0</v>
    </nc>
  </rcc>
  <rcc rId="316" sId="1">
    <nc r="F1923">
      <f>B1923-D1923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42" sId="1" ref="A1754:XFD1754" action="insertRow"/>
  <rcc rId="1343" sId="1">
    <nc r="A1754" t="inlineStr">
      <is>
        <t>0412                  24001S3300</t>
      </is>
    </nc>
  </rcc>
  <rcc rId="1344" sId="1">
    <nc r="B1754">
      <f>F1502</f>
    </nc>
  </rcc>
  <rcc rId="1345" sId="1" numFmtId="4">
    <nc r="D1754">
      <v>0</v>
    </nc>
  </rcc>
  <rcc rId="1346" sId="1">
    <nc r="F1754">
      <f>B1754-D1754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7" sId="1">
    <oc r="F321">
      <f>237733.5+200000</f>
    </oc>
    <nc r="F321">
      <f>234733.5+200000</f>
    </nc>
  </rcc>
  <rcc rId="1348" sId="1">
    <oc r="G321" t="inlineStr">
      <is>
        <t>237733,5;   200000</t>
      </is>
    </oc>
    <nc r="G321" t="inlineStr">
      <is>
        <t>234733,5;   200000</t>
      </is>
    </nc>
  </rcc>
  <rrc rId="1349" sId="1" ref="A322:XFD323" action="insertRow"/>
  <rcc rId="1350" sId="1">
    <nc r="A322" t="inlineStr">
      <is>
        <t>Софинансирование субсидии на софинансирование расходных обязательств на поддержку муниципальной программы «Формирование современной городской среды на 2018-2022 годы» на территории городского округа «Город Южно-Сахалинск»</t>
      </is>
    </nc>
  </rcc>
  <rcc rId="1351" sId="1">
    <nc r="B322">
      <v>902</v>
    </nc>
  </rcc>
  <rcc rId="1352" sId="1">
    <nc r="D322" t="inlineStr">
      <is>
        <t>25001S555F</t>
      </is>
    </nc>
  </rcc>
  <rcc rId="1353" sId="1">
    <nc r="F322">
      <f>F323</f>
    </nc>
  </rcc>
  <rcc rId="1354" sId="1">
    <nc r="A323" t="inlineStr">
      <is>
        <t>Иные закупки товаров, работ и услуг для обеспечения государственных (муниципальных) нужд</t>
      </is>
    </nc>
  </rcc>
  <rcc rId="1355" sId="1">
    <nc r="B323">
      <v>902</v>
    </nc>
  </rcc>
  <rcc rId="1356" sId="1">
    <nc r="D323" t="inlineStr">
      <is>
        <t>25001S555F</t>
      </is>
    </nc>
  </rcc>
  <rcc rId="1357" sId="1">
    <nc r="E323">
      <v>240</v>
    </nc>
  </rcc>
  <rcc rId="1358" sId="1">
    <nc r="C322" t="inlineStr">
      <is>
        <t>0409</t>
      </is>
    </nc>
  </rcc>
  <rcc rId="1359" sId="1">
    <nc r="C323" t="inlineStr">
      <is>
        <t>0409</t>
      </is>
    </nc>
  </rcc>
  <rcc rId="1360" sId="1" numFmtId="4">
    <nc r="F323">
      <v>3000</v>
    </nc>
  </rcc>
  <rcc rId="1361" sId="1">
    <nc r="G323" t="inlineStr">
      <is>
        <t>3000</t>
      </is>
    </nc>
  </rcc>
  <rcc rId="1362" sId="1">
    <oc r="F318">
      <f>F319</f>
    </oc>
    <nc r="F318">
      <f>F319+F322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3" sId="1" numFmtId="4">
    <nc r="G1143">
      <v>100</v>
    </nc>
  </rcc>
  <rcc rId="1364" sId="1" numFmtId="4">
    <nc r="G1144">
      <v>400</v>
    </nc>
  </rcc>
  <rfmt sheetId="1" sqref="G1143:G1144" start="0" length="2147483647">
    <dxf>
      <font>
        <color rgb="FFFF0000"/>
      </font>
    </dxf>
  </rfmt>
  <rfmt sheetId="1" sqref="G1143:G1144" start="0" length="2147483647">
    <dxf>
      <font>
        <b/>
      </font>
    </dxf>
  </rfmt>
  <rfmt sheetId="1" sqref="G1143:G1144">
    <dxf>
      <numFmt numFmtId="169" formatCode="\+0.0"/>
    </dxf>
  </rfmt>
  <rcc rId="1365" sId="1" numFmtId="4">
    <nc r="F1144">
      <v>400</v>
    </nc>
  </rcc>
  <rcc rId="1366" sId="1" numFmtId="4">
    <oc r="F1143">
      <v>271</v>
    </oc>
    <nc r="F1143">
      <f>271+100</f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7" sId="1" odxf="1" dxf="1" numFmtId="4">
    <nc r="G1148">
      <v>100</v>
    </nc>
    <odxf>
      <font>
        <b val="0"/>
        <sz val="12"/>
        <color auto="1"/>
      </font>
      <numFmt numFmtId="3" formatCode="#,##0"/>
    </odxf>
    <ndxf>
      <font>
        <b/>
        <sz val="12"/>
        <color rgb="FFFF0000"/>
      </font>
      <numFmt numFmtId="169" formatCode="\+0.0"/>
    </ndxf>
  </rcc>
  <rcc rId="1368" sId="1" odxf="1" dxf="1" numFmtId="4">
    <nc r="G1149">
      <v>400</v>
    </nc>
    <odxf>
      <font>
        <b val="0"/>
        <sz val="12"/>
        <color auto="1"/>
      </font>
      <numFmt numFmtId="3" formatCode="#,##0"/>
    </odxf>
    <ndxf>
      <font>
        <b/>
        <sz val="12"/>
        <color rgb="FFFF0000"/>
      </font>
      <numFmt numFmtId="169" formatCode="\+0.0"/>
    </ndxf>
  </rcc>
  <rcc rId="1369" sId="1" numFmtId="4">
    <oc r="F1148">
      <v>450</v>
    </oc>
    <nc r="F1148">
      <f>450+100</f>
    </nc>
  </rcc>
  <rcc rId="1370" sId="1" numFmtId="4">
    <nc r="F1149">
      <v>400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143:C1149" start="0" length="2147483647">
    <dxf>
      <font>
        <color auto="1"/>
      </font>
    </dxf>
  </rfmt>
  <rfmt sheetId="1" sqref="D1144:E1149" start="0" length="2147483647">
    <dxf>
      <font>
        <color auto="1"/>
      </font>
    </dxf>
  </rfmt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1" sId="1" numFmtId="4">
    <nc r="G1214">
      <v>16491.2</v>
    </nc>
  </rcc>
  <rcc rId="1372" sId="1" numFmtId="4">
    <nc r="G1215">
      <v>6040</v>
    </nc>
  </rcc>
  <rfmt sheetId="1" sqref="G1214:G1215">
    <dxf>
      <numFmt numFmtId="169" formatCode="\+0.0"/>
    </dxf>
  </rfmt>
  <rcc rId="1373" sId="1" numFmtId="4">
    <oc r="F1214">
      <v>31753.5</v>
    </oc>
    <nc r="F1214">
      <f>31753.5+16491.2</f>
    </nc>
  </rcc>
  <rcc rId="1374" sId="1" numFmtId="4">
    <oc r="F1215">
      <v>13500</v>
    </oc>
    <nc r="F1215">
      <f>13500+6040</f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F7D559D-0166-4787-B1BA-841D705C6F88}" action="delete"/>
  <rdn rId="0" localSheetId="1" customView="1" name="Z_CF7D559D_0166_4787_B1BA_841D705C6F88_.wvu.PrintArea" hidden="1" oldHidden="1">
    <formula>январь!$A$6:$F$1616</formula>
    <oldFormula>январь!$A$6:$F$1616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январь!$A$10:$O$1617</formula>
    <oldFormula>январь!$A$10:$O$1617</oldFormula>
  </rdn>
  <rcv guid="{CF7D559D-0166-4787-B1BA-841D705C6F88}" action="add"/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78" sId="1" ref="A1216:XFD1216" action="insertRow"/>
  <rrc rId="1379" sId="1" ref="A1216:XFD1216" action="insertRow"/>
  <rrc rId="1380" sId="1" ref="A1216:XFD1216" action="insertRow"/>
  <rcc rId="1381" sId="1" odxf="1" dxf="1">
    <nc r="A1216" t="inlineStr">
      <is>
        <t>Поддержка и развитие кадрового потенциала в сфере культуры, дополнительного образования в сфере культуры и искусства</t>
      </is>
    </nc>
    <odxf>
      <font>
        <sz val="12"/>
        <color theme="1"/>
      </font>
    </odxf>
    <ndxf>
      <font>
        <sz val="12"/>
        <color auto="1"/>
      </font>
    </ndxf>
  </rcc>
  <rcc rId="1382" sId="1" odxf="1" dxf="1">
    <nc r="B1216" t="inlineStr">
      <is>
        <t>913</t>
      </is>
    </nc>
    <odxf>
      <font>
        <sz val="12"/>
        <color theme="1"/>
      </font>
    </odxf>
    <ndxf>
      <font>
        <sz val="12"/>
        <color auto="1"/>
      </font>
    </ndxf>
  </rcc>
  <rcc rId="1383" sId="1" odxf="1" dxf="1">
    <nc r="C1216" t="inlineStr">
      <is>
        <t>0703</t>
      </is>
    </nc>
    <odxf>
      <font>
        <sz val="12"/>
        <color theme="1"/>
      </font>
      <numFmt numFmtId="0" formatCode="General"/>
    </odxf>
    <ndxf>
      <font>
        <sz val="12"/>
        <color auto="1"/>
      </font>
      <numFmt numFmtId="30" formatCode="@"/>
    </ndxf>
  </rcc>
  <rcc rId="1384" sId="1" odxf="1" dxf="1">
    <nc r="D1216" t="inlineStr">
      <is>
        <t>1900800000</t>
      </is>
    </nc>
    <odxf>
      <font>
        <sz val="12"/>
        <color theme="1"/>
      </font>
    </odxf>
    <ndxf>
      <font>
        <sz val="12"/>
        <color auto="1"/>
      </font>
    </ndxf>
  </rcc>
  <rcc rId="1385" sId="1" odxf="1" dxf="1">
    <nc r="E1216" t="inlineStr">
      <is>
        <t/>
      </is>
    </nc>
    <odxf>
      <font>
        <sz val="12"/>
        <color theme="1"/>
      </font>
    </odxf>
    <ndxf>
      <font>
        <sz val="12"/>
        <color auto="1"/>
      </font>
    </ndxf>
  </rcc>
  <rcc rId="1386" sId="1" odxf="1" dxf="1">
    <nc r="A1217" t="inlineStr">
      <is>
        <t>Расходы на обеспечение деятельности (оказание услуг) муниципальных учреждений</t>
      </is>
    </nc>
    <odxf>
      <font>
        <sz val="12"/>
        <color theme="1"/>
      </font>
    </odxf>
    <ndxf>
      <font>
        <sz val="12"/>
        <color auto="1"/>
      </font>
    </ndxf>
  </rcc>
  <rcc rId="1387" sId="1" odxf="1" dxf="1">
    <nc r="B1217" t="inlineStr">
      <is>
        <t>913</t>
      </is>
    </nc>
    <odxf>
      <font>
        <sz val="12"/>
        <color theme="1"/>
      </font>
    </odxf>
    <ndxf>
      <font>
        <sz val="12"/>
        <color auto="1"/>
      </font>
    </ndxf>
  </rcc>
  <rcc rId="1388" sId="1" odxf="1" dxf="1">
    <nc r="C1217" t="inlineStr">
      <is>
        <t>0703</t>
      </is>
    </nc>
    <odxf>
      <font>
        <sz val="12"/>
        <color theme="1"/>
      </font>
      <numFmt numFmtId="0" formatCode="General"/>
    </odxf>
    <ndxf>
      <font>
        <sz val="12"/>
        <color auto="1"/>
      </font>
      <numFmt numFmtId="30" formatCode="@"/>
    </ndxf>
  </rcc>
  <rcc rId="1389" sId="1" odxf="1" dxf="1">
    <nc r="D1217" t="inlineStr">
      <is>
        <t>1900800590</t>
      </is>
    </nc>
    <odxf>
      <font>
        <sz val="12"/>
        <color theme="1"/>
      </font>
    </odxf>
    <ndxf>
      <font>
        <sz val="12"/>
        <color auto="1"/>
      </font>
    </ndxf>
  </rcc>
  <rfmt sheetId="1" sqref="E1217" start="0" length="0">
    <dxf>
      <font>
        <sz val="12"/>
        <color auto="1"/>
      </font>
    </dxf>
  </rfmt>
  <rcc rId="1390" sId="1">
    <nc r="F1217">
      <f>F1218</f>
    </nc>
  </rcc>
  <rcc rId="1391" sId="1" odxf="1" dxf="1">
    <nc r="A1218" t="inlineStr">
      <is>
        <t xml:space="preserve">Субсидии бюджетным учреждениям </t>
      </is>
    </nc>
    <odxf>
      <font>
        <sz val="12"/>
        <color theme="1"/>
      </font>
    </odxf>
    <ndxf>
      <font>
        <sz val="12"/>
        <color auto="1"/>
      </font>
    </ndxf>
  </rcc>
  <rcc rId="1392" sId="1" odxf="1" dxf="1">
    <nc r="B1218" t="inlineStr">
      <is>
        <t>913</t>
      </is>
    </nc>
    <odxf>
      <font>
        <sz val="12"/>
        <color theme="1"/>
      </font>
    </odxf>
    <ndxf>
      <font>
        <sz val="12"/>
        <color auto="1"/>
      </font>
    </ndxf>
  </rcc>
  <rcc rId="1393" sId="1" odxf="1" dxf="1">
    <nc r="C1218" t="inlineStr">
      <is>
        <t>0703</t>
      </is>
    </nc>
    <odxf>
      <font>
        <sz val="12"/>
        <color theme="1"/>
      </font>
      <numFmt numFmtId="0" formatCode="General"/>
    </odxf>
    <ndxf>
      <font>
        <sz val="12"/>
        <color auto="1"/>
      </font>
      <numFmt numFmtId="30" formatCode="@"/>
    </ndxf>
  </rcc>
  <rcc rId="1394" sId="1" odxf="1" dxf="1">
    <nc r="D1218" t="inlineStr">
      <is>
        <t>1900800590</t>
      </is>
    </nc>
    <odxf>
      <font>
        <sz val="12"/>
        <color theme="1"/>
      </font>
    </odxf>
    <ndxf>
      <font>
        <sz val="12"/>
        <color auto="1"/>
      </font>
    </ndxf>
  </rcc>
  <rcc rId="1395" sId="1" odxf="1" dxf="1">
    <nc r="E1218">
      <v>610</v>
    </nc>
    <odxf>
      <font>
        <sz val="12"/>
        <color theme="1"/>
      </font>
      <alignment vertical="top" readingOrder="0"/>
    </odxf>
    <ndxf>
      <font>
        <sz val="12"/>
        <color auto="1"/>
      </font>
      <alignment vertical="center" readingOrder="0"/>
    </ndxf>
  </rcc>
  <rfmt sheetId="1" sqref="F1216:F1218" start="0" length="2147483647">
    <dxf>
      <font>
        <color rgb="FFFF0000"/>
      </font>
    </dxf>
  </rfmt>
  <rcc rId="1396" sId="1" numFmtId="4">
    <nc r="F1218">
      <v>2294.3000000000002</v>
    </nc>
  </rcc>
  <rcc rId="1397" sId="1">
    <nc r="F1216">
      <f>F1217</f>
    </nc>
  </rcc>
  <rfmt sheetId="1" sqref="D1218:F1218">
    <dxf>
      <fill>
        <patternFill>
          <bgColor rgb="FFFFFF00"/>
        </patternFill>
      </fill>
    </dxf>
  </rfmt>
  <rfmt sheetId="1" sqref="F1216:F1218" start="0" length="2147483647">
    <dxf>
      <font>
        <color auto="1"/>
      </font>
    </dxf>
  </rfmt>
  <rcc rId="1398" sId="1" numFmtId="4">
    <nc r="G1218">
      <v>2294.3000000000002</v>
    </nc>
  </rcc>
  <rcv guid="{A6AD508C-AEED-43C7-976B-DD33C28CD830}" action="delete"/>
  <rdn rId="0" localSheetId="1" customView="1" name="Z_A6AD508C_AEED_43C7_976B_DD33C28CD830_.wvu.PrintArea" hidden="1" oldHidden="1">
    <formula>январь!$A$6:$F$1619</formula>
    <oldFormula>январь!$A$6:$F$1619</oldFormula>
  </rdn>
  <rdn rId="0" localSheetId="1" customView="1" name="Z_A6AD508C_AEED_43C7_976B_DD33C28CD830_.wvu.PrintTitles" hidden="1" oldHidden="1">
    <formula>январь!$9:$10</formula>
    <oldFormula>январь!$9:$10</oldFormula>
  </rdn>
  <rdn rId="0" localSheetId="1" customView="1" name="Z_A6AD508C_AEED_43C7_976B_DD33C28CD830_.wvu.FilterData" hidden="1" oldHidden="1">
    <formula>январь!$A$10:$F$1620</formula>
    <oldFormula>январь!$A$10:$F$1620</oldFormula>
  </rdn>
  <rcv guid="{A6AD508C-AEED-43C7-976B-DD33C28CD830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216" start="0" length="0">
    <dxf>
      <font>
        <sz val="12"/>
        <color theme="1"/>
      </font>
    </dxf>
  </rfmt>
  <rcc rId="1402" sId="1" odxf="1" dxf="1">
    <oc r="C1216" t="inlineStr">
      <is>
        <t>0703</t>
      </is>
    </oc>
    <nc r="C1216" t="inlineStr">
      <is>
        <t>0801</t>
      </is>
    </nc>
    <odxf>
      <font>
        <sz val="12"/>
        <color auto="1"/>
      </font>
      <numFmt numFmtId="30" formatCode="@"/>
    </odxf>
    <ndxf>
      <font>
        <sz val="12"/>
        <color theme="1"/>
      </font>
      <numFmt numFmtId="0" formatCode="General"/>
    </ndxf>
  </rcc>
  <rfmt sheetId="1" sqref="B1217" start="0" length="0">
    <dxf>
      <font>
        <sz val="12"/>
        <color theme="1"/>
      </font>
    </dxf>
  </rfmt>
  <rcc rId="1403" sId="1" odxf="1" dxf="1">
    <oc r="C1217" t="inlineStr">
      <is>
        <t>0703</t>
      </is>
    </oc>
    <nc r="C1217" t="inlineStr">
      <is>
        <t>0801</t>
      </is>
    </nc>
    <odxf>
      <font>
        <sz val="12"/>
        <color auto="1"/>
      </font>
      <numFmt numFmtId="30" formatCode="@"/>
    </odxf>
    <ndxf>
      <font>
        <sz val="12"/>
        <color theme="1"/>
      </font>
      <numFmt numFmtId="0" formatCode="General"/>
    </ndxf>
  </rcc>
  <rfmt sheetId="1" sqref="B1218" start="0" length="0">
    <dxf>
      <font>
        <sz val="12"/>
        <color theme="1"/>
      </font>
    </dxf>
  </rfmt>
  <rcc rId="1404" sId="1" odxf="1" dxf="1">
    <oc r="C1218" t="inlineStr">
      <is>
        <t>0703</t>
      </is>
    </oc>
    <nc r="C1218" t="inlineStr">
      <is>
        <t>0801</t>
      </is>
    </nc>
    <odxf>
      <font>
        <sz val="12"/>
        <color auto="1"/>
      </font>
      <numFmt numFmtId="30" formatCode="@"/>
    </odxf>
    <ndxf>
      <font>
        <sz val="12"/>
        <color theme="1"/>
      </font>
      <numFmt numFmtId="0" formatCode="General"/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471" start="0" length="2147483647">
    <dxf>
      <font>
        <b/>
      </font>
    </dxf>
  </rfmt>
  <rcv guid="{CF7D559D-0166-4787-B1BA-841D705C6F88}" action="delete"/>
  <rdn rId="0" localSheetId="1" customView="1" name="Z_CF7D559D_0166_4787_B1BA_841D705C6F88_.wvu.PrintArea" hidden="1" oldHidden="1">
    <formula>январь!$A$6:$F$1619</formula>
    <oldFormula>январь!$A$6:$F$1619</oldFormula>
  </rdn>
  <rdn rId="0" localSheetId="1" customView="1" name="Z_CF7D559D_0166_4787_B1BA_841D705C6F88_.wvu.PrintTitles" hidden="1" oldHidden="1">
    <formula>январь!$9:$10</formula>
    <oldFormula>январь!$9:$10</oldFormula>
  </rdn>
  <rdn rId="0" localSheetId="1" customView="1" name="Z_CF7D559D_0166_4787_B1BA_841D705C6F88_.wvu.FilterData" hidden="1" oldHidden="1">
    <formula>январь!$A$10:$O$1620</formula>
    <oldFormula>январь!$A$10:$O$1620</oldFormula>
  </rdn>
  <rcv guid="{CF7D559D-0166-4787-B1BA-841D705C6F8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6">
  <userInfo guid="{4668FD9F-ED7F-431E-A663-D9FCE16B9B81}" name="Константин А. Бобылев" id="-316691862" dateTime="2018-01-16T11:10:10"/>
  <userInfo guid="{F61392DE-BDD1-489F-967F-300AE805D76C}" name="Екатерина В. Баженова" id="-1561424347" dateTime="2018-01-18T14:03:22"/>
  <userInfo guid="{B84D9280-F525-4953-8EFB-43EDB42D460B}" name="Оксана Д. Скрябина" id="-2053920328" dateTime="2018-01-19T11:03:39"/>
  <userInfo guid="{F8C17EE9-77D6-4F6B-8890-1E0CF2162637}" name="Екатерина В. Баженова" id="-1561416250" dateTime="2018-02-05T16:11:14"/>
  <userInfo guid="{8575B2ED-5540-413A-A370-AA7F9E1DBBAB}" name="Людмила Л. Панова" id="-1360427104" dateTime="2018-02-06T11:11:14"/>
  <userInfo guid="{8575B2ED-5540-413A-A370-AA7F9E1DBBAB}" name="Людмила Л. Панова" id="-1360449112" dateTime="2018-02-06T11:40:1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649"/>
  <sheetViews>
    <sheetView tabSelected="1" view="pageBreakPreview" zoomScale="110" zoomScaleNormal="90" zoomScaleSheetLayoutView="110" workbookViewId="0">
      <selection activeCell="D4" sqref="D4:F4"/>
    </sheetView>
  </sheetViews>
  <sheetFormatPr defaultRowHeight="15.75" x14ac:dyDescent="0.2"/>
  <cols>
    <col min="1" max="1" width="79.33203125" style="106" customWidth="1"/>
    <col min="2" max="2" width="18.83203125" style="106" customWidth="1"/>
    <col min="3" max="3" width="13.5" style="106" customWidth="1"/>
    <col min="4" max="4" width="19.5" style="329" customWidth="1"/>
    <col min="5" max="5" width="11" style="106" customWidth="1"/>
    <col min="6" max="6" width="22.33203125" style="280" customWidth="1"/>
    <col min="7" max="7" width="23.83203125" style="1" customWidth="1"/>
    <col min="8" max="8" width="20.6640625" style="2" customWidth="1"/>
    <col min="9" max="9" width="26.1640625" style="2" customWidth="1"/>
    <col min="10" max="10" width="18" style="2" customWidth="1"/>
    <col min="11" max="11" width="21.1640625" style="2" customWidth="1"/>
    <col min="12" max="12" width="16.5" style="2" customWidth="1"/>
    <col min="13" max="13" width="23" style="2" customWidth="1"/>
    <col min="14" max="14" width="28.83203125" style="2" customWidth="1"/>
    <col min="15" max="15" width="18.33203125" style="2" customWidth="1"/>
    <col min="16" max="16" width="17.83203125" style="2" customWidth="1"/>
    <col min="17" max="16384" width="9.33203125" style="2"/>
  </cols>
  <sheetData>
    <row r="1" spans="1:8" x14ac:dyDescent="0.2">
      <c r="D1" s="378" t="s">
        <v>1078</v>
      </c>
      <c r="E1" s="378"/>
      <c r="F1" s="378"/>
    </row>
    <row r="2" spans="1:8" x14ac:dyDescent="0.2">
      <c r="D2" s="378" t="s">
        <v>1076</v>
      </c>
      <c r="E2" s="378"/>
      <c r="F2" s="378"/>
    </row>
    <row r="3" spans="1:8" x14ac:dyDescent="0.2">
      <c r="D3" s="378" t="s">
        <v>1077</v>
      </c>
      <c r="E3" s="378"/>
      <c r="F3" s="378"/>
    </row>
    <row r="4" spans="1:8" x14ac:dyDescent="0.2">
      <c r="D4" s="378" t="s">
        <v>1120</v>
      </c>
      <c r="E4" s="378"/>
      <c r="F4" s="378"/>
    </row>
    <row r="7" spans="1:8" ht="80.25" customHeight="1" x14ac:dyDescent="0.2">
      <c r="A7" s="3"/>
      <c r="B7" s="4"/>
      <c r="C7" s="4"/>
      <c r="D7" s="376" t="s">
        <v>1075</v>
      </c>
      <c r="E7" s="376"/>
      <c r="F7" s="376"/>
    </row>
    <row r="8" spans="1:8" ht="86.25" customHeight="1" x14ac:dyDescent="0.2">
      <c r="A8" s="377" t="s">
        <v>981</v>
      </c>
      <c r="B8" s="377"/>
      <c r="C8" s="377"/>
      <c r="D8" s="377"/>
      <c r="E8" s="377"/>
      <c r="F8" s="377"/>
      <c r="G8" s="5"/>
      <c r="H8" s="6"/>
    </row>
    <row r="9" spans="1:8" ht="84" customHeight="1" x14ac:dyDescent="0.2">
      <c r="A9" s="135" t="s">
        <v>0</v>
      </c>
      <c r="B9" s="7" t="s">
        <v>1</v>
      </c>
      <c r="C9" s="7" t="s">
        <v>2</v>
      </c>
      <c r="D9" s="8" t="s">
        <v>3</v>
      </c>
      <c r="E9" s="7" t="s">
        <v>4</v>
      </c>
      <c r="F9" s="208" t="s">
        <v>5</v>
      </c>
      <c r="G9" s="166"/>
    </row>
    <row r="10" spans="1:8" ht="15.75" customHeight="1" x14ac:dyDescent="0.2">
      <c r="A10" s="7">
        <v>1</v>
      </c>
      <c r="B10" s="7" t="s">
        <v>6</v>
      </c>
      <c r="C10" s="7" t="s">
        <v>7</v>
      </c>
      <c r="D10" s="8" t="s">
        <v>8</v>
      </c>
      <c r="E10" s="7" t="s">
        <v>9</v>
      </c>
      <c r="F10" s="208" t="s">
        <v>10</v>
      </c>
      <c r="G10" s="9"/>
    </row>
    <row r="11" spans="1:8" ht="15.75" customHeight="1" x14ac:dyDescent="0.2">
      <c r="A11" s="146" t="s">
        <v>11</v>
      </c>
      <c r="B11" s="147" t="s">
        <v>12</v>
      </c>
      <c r="C11" s="147" t="s">
        <v>13</v>
      </c>
      <c r="D11" s="147" t="s">
        <v>13</v>
      </c>
      <c r="E11" s="147" t="s">
        <v>13</v>
      </c>
      <c r="F11" s="307">
        <f>F12</f>
        <v>199632.5</v>
      </c>
      <c r="G11" s="51"/>
      <c r="H11" s="13"/>
    </row>
    <row r="12" spans="1:8" ht="15.75" customHeight="1" x14ac:dyDescent="0.2">
      <c r="A12" s="10" t="s">
        <v>14</v>
      </c>
      <c r="B12" s="11" t="s">
        <v>12</v>
      </c>
      <c r="C12" s="11" t="s">
        <v>15</v>
      </c>
      <c r="D12" s="322" t="s">
        <v>13</v>
      </c>
      <c r="E12" s="11" t="s">
        <v>13</v>
      </c>
      <c r="F12" s="297">
        <f>F13+F25</f>
        <v>199632.5</v>
      </c>
      <c r="G12" s="12"/>
      <c r="H12" s="13"/>
    </row>
    <row r="13" spans="1:8" ht="47.25" customHeight="1" x14ac:dyDescent="0.2">
      <c r="A13" s="14" t="s">
        <v>16</v>
      </c>
      <c r="B13" s="7" t="s">
        <v>12</v>
      </c>
      <c r="C13" s="7" t="s">
        <v>17</v>
      </c>
      <c r="D13" s="8" t="s">
        <v>13</v>
      </c>
      <c r="E13" s="7" t="s">
        <v>13</v>
      </c>
      <c r="F13" s="294">
        <f>F14</f>
        <v>74813</v>
      </c>
      <c r="G13" s="12"/>
      <c r="H13" s="13"/>
    </row>
    <row r="14" spans="1:8" ht="31.5" customHeight="1" x14ac:dyDescent="0.2">
      <c r="A14" s="14" t="s">
        <v>18</v>
      </c>
      <c r="B14" s="7" t="s">
        <v>12</v>
      </c>
      <c r="C14" s="7" t="s">
        <v>17</v>
      </c>
      <c r="D14" s="8" t="s">
        <v>19</v>
      </c>
      <c r="E14" s="7"/>
      <c r="F14" s="294">
        <f>F15</f>
        <v>74813</v>
      </c>
      <c r="G14" s="12"/>
      <c r="H14" s="13"/>
    </row>
    <row r="15" spans="1:8" ht="15.75" customHeight="1" x14ac:dyDescent="0.2">
      <c r="A15" s="14" t="s">
        <v>20</v>
      </c>
      <c r="B15" s="7">
        <v>901</v>
      </c>
      <c r="C15" s="7" t="s">
        <v>17</v>
      </c>
      <c r="D15" s="8" t="s">
        <v>21</v>
      </c>
      <c r="E15" s="7" t="s">
        <v>13</v>
      </c>
      <c r="F15" s="294">
        <f>F16+F19+F22</f>
        <v>74813</v>
      </c>
      <c r="G15" s="12"/>
      <c r="H15" s="13"/>
    </row>
    <row r="16" spans="1:8" ht="15.75" customHeight="1" x14ac:dyDescent="0.2">
      <c r="A16" s="14" t="s">
        <v>22</v>
      </c>
      <c r="B16" s="7" t="s">
        <v>12</v>
      </c>
      <c r="C16" s="7" t="s">
        <v>17</v>
      </c>
      <c r="D16" s="8" t="s">
        <v>23</v>
      </c>
      <c r="E16" s="7"/>
      <c r="F16" s="294">
        <f>F17</f>
        <v>4617.9000000000005</v>
      </c>
      <c r="G16" s="12"/>
      <c r="H16" s="13"/>
    </row>
    <row r="17" spans="1:8" ht="15.75" customHeight="1" x14ac:dyDescent="0.2">
      <c r="A17" s="14" t="s">
        <v>773</v>
      </c>
      <c r="B17" s="7" t="s">
        <v>12</v>
      </c>
      <c r="C17" s="7" t="s">
        <v>17</v>
      </c>
      <c r="D17" s="8" t="s">
        <v>24</v>
      </c>
      <c r="E17" s="7"/>
      <c r="F17" s="294">
        <f>F18</f>
        <v>4617.9000000000005</v>
      </c>
      <c r="G17" s="12"/>
      <c r="H17" s="13"/>
    </row>
    <row r="18" spans="1:8" ht="31.5" customHeight="1" x14ac:dyDescent="0.2">
      <c r="A18" s="14" t="s">
        <v>25</v>
      </c>
      <c r="B18" s="7" t="s">
        <v>12</v>
      </c>
      <c r="C18" s="7" t="s">
        <v>17</v>
      </c>
      <c r="D18" s="8" t="s">
        <v>24</v>
      </c>
      <c r="E18" s="7">
        <v>120</v>
      </c>
      <c r="F18" s="294">
        <f>4785.8-167.9</f>
        <v>4617.9000000000005</v>
      </c>
      <c r="G18" s="30"/>
      <c r="H18" s="13"/>
    </row>
    <row r="19" spans="1:8" ht="15.75" customHeight="1" x14ac:dyDescent="0.2">
      <c r="A19" s="14" t="s">
        <v>26</v>
      </c>
      <c r="B19" s="7" t="s">
        <v>12</v>
      </c>
      <c r="C19" s="7" t="s">
        <v>17</v>
      </c>
      <c r="D19" s="8" t="s">
        <v>27</v>
      </c>
      <c r="E19" s="7"/>
      <c r="F19" s="294">
        <f>F20</f>
        <v>4127.5</v>
      </c>
      <c r="G19" s="12"/>
      <c r="H19" s="13"/>
    </row>
    <row r="20" spans="1:8" ht="15.75" customHeight="1" x14ac:dyDescent="0.2">
      <c r="A20" s="14" t="s">
        <v>773</v>
      </c>
      <c r="B20" s="7" t="s">
        <v>12</v>
      </c>
      <c r="C20" s="7" t="s">
        <v>17</v>
      </c>
      <c r="D20" s="8" t="s">
        <v>28</v>
      </c>
      <c r="E20" s="7"/>
      <c r="F20" s="294">
        <f>F21</f>
        <v>4127.5</v>
      </c>
      <c r="G20" s="12"/>
      <c r="H20" s="13"/>
    </row>
    <row r="21" spans="1:8" ht="31.5" customHeight="1" x14ac:dyDescent="0.2">
      <c r="A21" s="14" t="s">
        <v>25</v>
      </c>
      <c r="B21" s="7" t="s">
        <v>12</v>
      </c>
      <c r="C21" s="7" t="s">
        <v>17</v>
      </c>
      <c r="D21" s="8" t="s">
        <v>28</v>
      </c>
      <c r="E21" s="7">
        <v>120</v>
      </c>
      <c r="F21" s="294">
        <f>4278.5-151</f>
        <v>4127.5</v>
      </c>
      <c r="G21" s="12"/>
      <c r="H21" s="13"/>
    </row>
    <row r="22" spans="1:8" ht="27.75" customHeight="1" x14ac:dyDescent="0.2">
      <c r="A22" s="14" t="s">
        <v>29</v>
      </c>
      <c r="B22" s="7" t="s">
        <v>12</v>
      </c>
      <c r="C22" s="7" t="s">
        <v>17</v>
      </c>
      <c r="D22" s="8" t="s">
        <v>30</v>
      </c>
      <c r="E22" s="7" t="s">
        <v>13</v>
      </c>
      <c r="F22" s="294">
        <f>F23</f>
        <v>66067.600000000006</v>
      </c>
      <c r="G22" s="12"/>
      <c r="H22" s="13"/>
    </row>
    <row r="23" spans="1:8" ht="15.75" customHeight="1" x14ac:dyDescent="0.2">
      <c r="A23" s="14" t="s">
        <v>773</v>
      </c>
      <c r="B23" s="7" t="s">
        <v>12</v>
      </c>
      <c r="C23" s="7" t="s">
        <v>17</v>
      </c>
      <c r="D23" s="8" t="s">
        <v>31</v>
      </c>
      <c r="E23" s="7"/>
      <c r="F23" s="294">
        <f>F24</f>
        <v>66067.600000000006</v>
      </c>
      <c r="G23" s="12"/>
      <c r="H23" s="13"/>
    </row>
    <row r="24" spans="1:8" ht="31.5" customHeight="1" x14ac:dyDescent="0.2">
      <c r="A24" s="14" t="s">
        <v>25</v>
      </c>
      <c r="B24" s="7" t="s">
        <v>12</v>
      </c>
      <c r="C24" s="7" t="s">
        <v>17</v>
      </c>
      <c r="D24" s="8" t="s">
        <v>31</v>
      </c>
      <c r="E24" s="7">
        <v>120</v>
      </c>
      <c r="F24" s="294">
        <f>63626.8+2440.8</f>
        <v>66067.600000000006</v>
      </c>
      <c r="G24" s="62"/>
      <c r="H24" s="30"/>
    </row>
    <row r="25" spans="1:8" ht="15.75" customHeight="1" x14ac:dyDescent="0.2">
      <c r="A25" s="14" t="s">
        <v>32</v>
      </c>
      <c r="B25" s="7" t="s">
        <v>12</v>
      </c>
      <c r="C25" s="7" t="s">
        <v>33</v>
      </c>
      <c r="D25" s="8" t="s">
        <v>13</v>
      </c>
      <c r="E25" s="7" t="s">
        <v>13</v>
      </c>
      <c r="F25" s="294">
        <f>F26</f>
        <v>124819.5</v>
      </c>
      <c r="G25" s="12"/>
      <c r="H25" s="13"/>
    </row>
    <row r="26" spans="1:8" ht="25.5" customHeight="1" x14ac:dyDescent="0.2">
      <c r="A26" s="14" t="s">
        <v>34</v>
      </c>
      <c r="B26" s="7" t="s">
        <v>12</v>
      </c>
      <c r="C26" s="7" t="s">
        <v>33</v>
      </c>
      <c r="D26" s="8" t="s">
        <v>35</v>
      </c>
      <c r="E26" s="7" t="s">
        <v>13</v>
      </c>
      <c r="F26" s="294">
        <f>F27+F34</f>
        <v>124819.5</v>
      </c>
      <c r="G26" s="16"/>
      <c r="H26" s="13"/>
    </row>
    <row r="27" spans="1:8" ht="15.75" customHeight="1" x14ac:dyDescent="0.2">
      <c r="A27" s="14" t="s">
        <v>36</v>
      </c>
      <c r="B27" s="7" t="s">
        <v>12</v>
      </c>
      <c r="C27" s="7" t="s">
        <v>33</v>
      </c>
      <c r="D27" s="8" t="s">
        <v>37</v>
      </c>
      <c r="E27" s="7"/>
      <c r="F27" s="294">
        <f>F28</f>
        <v>119957.1</v>
      </c>
      <c r="G27" s="16"/>
      <c r="H27" s="13"/>
    </row>
    <row r="28" spans="1:8" ht="15.75" customHeight="1" x14ac:dyDescent="0.2">
      <c r="A28" s="14" t="s">
        <v>38</v>
      </c>
      <c r="B28" s="7" t="s">
        <v>12</v>
      </c>
      <c r="C28" s="7" t="s">
        <v>33</v>
      </c>
      <c r="D28" s="8" t="s">
        <v>39</v>
      </c>
      <c r="E28" s="7"/>
      <c r="F28" s="294">
        <f>F29</f>
        <v>119957.1</v>
      </c>
      <c r="G28" s="12"/>
      <c r="H28" s="13"/>
    </row>
    <row r="29" spans="1:8" ht="31.5" customHeight="1" x14ac:dyDescent="0.2">
      <c r="A29" s="14" t="s">
        <v>40</v>
      </c>
      <c r="B29" s="7" t="s">
        <v>12</v>
      </c>
      <c r="C29" s="7" t="s">
        <v>33</v>
      </c>
      <c r="D29" s="8" t="s">
        <v>41</v>
      </c>
      <c r="E29" s="7"/>
      <c r="F29" s="294">
        <f>SUM(F30:F33)</f>
        <v>119957.1</v>
      </c>
      <c r="G29" s="12"/>
      <c r="H29" s="13"/>
    </row>
    <row r="30" spans="1:8" ht="15.75" customHeight="1" x14ac:dyDescent="0.2">
      <c r="A30" s="14" t="s">
        <v>42</v>
      </c>
      <c r="B30" s="7" t="s">
        <v>12</v>
      </c>
      <c r="C30" s="7" t="s">
        <v>33</v>
      </c>
      <c r="D30" s="8" t="s">
        <v>41</v>
      </c>
      <c r="E30" s="7">
        <v>110</v>
      </c>
      <c r="F30" s="294">
        <f>108266.4-42+3672.6</f>
        <v>111897</v>
      </c>
      <c r="G30" s="62"/>
      <c r="H30" s="13"/>
    </row>
    <row r="31" spans="1:8" ht="31.5" customHeight="1" x14ac:dyDescent="0.2">
      <c r="A31" s="14" t="s">
        <v>43</v>
      </c>
      <c r="B31" s="7" t="s">
        <v>12</v>
      </c>
      <c r="C31" s="7" t="s">
        <v>33</v>
      </c>
      <c r="D31" s="8" t="s">
        <v>41</v>
      </c>
      <c r="E31" s="7">
        <v>240</v>
      </c>
      <c r="F31" s="294">
        <v>7059.6</v>
      </c>
      <c r="G31" s="16"/>
      <c r="H31" s="16"/>
    </row>
    <row r="32" spans="1:8" ht="31.5" customHeight="1" x14ac:dyDescent="0.2">
      <c r="A32" s="105" t="s">
        <v>289</v>
      </c>
      <c r="B32" s="7" t="s">
        <v>12</v>
      </c>
      <c r="C32" s="7" t="s">
        <v>33</v>
      </c>
      <c r="D32" s="8" t="s">
        <v>41</v>
      </c>
      <c r="E32" s="7">
        <v>320</v>
      </c>
      <c r="F32" s="294">
        <v>680.1</v>
      </c>
      <c r="G32" s="16"/>
      <c r="H32" s="16"/>
    </row>
    <row r="33" spans="1:14" ht="20.25" customHeight="1" x14ac:dyDescent="0.2">
      <c r="A33" s="14" t="s">
        <v>44</v>
      </c>
      <c r="B33" s="7" t="s">
        <v>12</v>
      </c>
      <c r="C33" s="7" t="s">
        <v>33</v>
      </c>
      <c r="D33" s="8" t="s">
        <v>41</v>
      </c>
      <c r="E33" s="7">
        <v>850</v>
      </c>
      <c r="F33" s="294">
        <v>320.39999999999998</v>
      </c>
      <c r="G33" s="308"/>
      <c r="H33" s="13"/>
    </row>
    <row r="34" spans="1:14" ht="15.75" customHeight="1" x14ac:dyDescent="0.2">
      <c r="A34" s="14" t="s">
        <v>45</v>
      </c>
      <c r="B34" s="7" t="s">
        <v>12</v>
      </c>
      <c r="C34" s="7" t="s">
        <v>33</v>
      </c>
      <c r="D34" s="8" t="s">
        <v>46</v>
      </c>
      <c r="E34" s="7" t="s">
        <v>13</v>
      </c>
      <c r="F34" s="294">
        <f>F35+F37</f>
        <v>4862.4000000000005</v>
      </c>
      <c r="G34" s="16"/>
      <c r="H34" s="13"/>
    </row>
    <row r="35" spans="1:14" ht="15.75" customHeight="1" x14ac:dyDescent="0.2">
      <c r="A35" s="14" t="s">
        <v>47</v>
      </c>
      <c r="B35" s="7" t="s">
        <v>12</v>
      </c>
      <c r="C35" s="7" t="s">
        <v>33</v>
      </c>
      <c r="D35" s="8" t="s">
        <v>48</v>
      </c>
      <c r="E35" s="7"/>
      <c r="F35" s="294">
        <f>SUM(F36:F36)</f>
        <v>4180.3</v>
      </c>
      <c r="G35" s="16"/>
      <c r="H35" s="13"/>
    </row>
    <row r="36" spans="1:14" ht="31.5" customHeight="1" x14ac:dyDescent="0.2">
      <c r="A36" s="14" t="s">
        <v>43</v>
      </c>
      <c r="B36" s="7" t="s">
        <v>12</v>
      </c>
      <c r="C36" s="7" t="s">
        <v>33</v>
      </c>
      <c r="D36" s="8" t="s">
        <v>48</v>
      </c>
      <c r="E36" s="7">
        <v>240</v>
      </c>
      <c r="F36" s="294">
        <v>4180.3</v>
      </c>
      <c r="G36" s="16"/>
      <c r="H36" s="16"/>
      <c r="I36" s="16"/>
    </row>
    <row r="37" spans="1:14" ht="31.5" customHeight="1" x14ac:dyDescent="0.2">
      <c r="A37" s="14" t="s">
        <v>49</v>
      </c>
      <c r="B37" s="7" t="s">
        <v>12</v>
      </c>
      <c r="C37" s="7" t="s">
        <v>33</v>
      </c>
      <c r="D37" s="8" t="s">
        <v>50</v>
      </c>
      <c r="E37" s="7" t="s">
        <v>13</v>
      </c>
      <c r="F37" s="294">
        <f>SUM(F38)</f>
        <v>682.1</v>
      </c>
      <c r="G37" s="16"/>
      <c r="H37" s="13"/>
    </row>
    <row r="38" spans="1:14" ht="15.75" customHeight="1" x14ac:dyDescent="0.2">
      <c r="A38" s="14" t="s">
        <v>51</v>
      </c>
      <c r="B38" s="7" t="s">
        <v>12</v>
      </c>
      <c r="C38" s="7" t="s">
        <v>33</v>
      </c>
      <c r="D38" s="8" t="s">
        <v>52</v>
      </c>
      <c r="E38" s="7"/>
      <c r="F38" s="294">
        <f>F39+F40</f>
        <v>682.1</v>
      </c>
      <c r="G38" s="16"/>
      <c r="H38" s="13"/>
    </row>
    <row r="39" spans="1:14" ht="31.5" customHeight="1" x14ac:dyDescent="0.2">
      <c r="A39" s="14" t="s">
        <v>43</v>
      </c>
      <c r="B39" s="7" t="s">
        <v>12</v>
      </c>
      <c r="C39" s="7" t="s">
        <v>33</v>
      </c>
      <c r="D39" s="8" t="s">
        <v>52</v>
      </c>
      <c r="E39" s="7">
        <v>240</v>
      </c>
      <c r="F39" s="294">
        <v>50</v>
      </c>
      <c r="G39" s="51"/>
      <c r="H39" s="13"/>
    </row>
    <row r="40" spans="1:14" x14ac:dyDescent="0.2">
      <c r="A40" s="14" t="s">
        <v>119</v>
      </c>
      <c r="B40" s="7" t="s">
        <v>12</v>
      </c>
      <c r="C40" s="7" t="s">
        <v>33</v>
      </c>
      <c r="D40" s="8" t="s">
        <v>52</v>
      </c>
      <c r="E40" s="7">
        <v>350</v>
      </c>
      <c r="F40" s="294">
        <v>632.1</v>
      </c>
      <c r="G40" s="51"/>
      <c r="H40" s="13"/>
    </row>
    <row r="41" spans="1:14" ht="18" customHeight="1" x14ac:dyDescent="0.2">
      <c r="A41" s="146" t="s">
        <v>53</v>
      </c>
      <c r="B41" s="147" t="s">
        <v>54</v>
      </c>
      <c r="C41" s="147" t="s">
        <v>13</v>
      </c>
      <c r="D41" s="147" t="s">
        <v>13</v>
      </c>
      <c r="E41" s="147" t="s">
        <v>13</v>
      </c>
      <c r="F41" s="307">
        <f>F42+F187+F245+F351+F447+F457+F507+F652+F662</f>
        <v>8091924.3999999994</v>
      </c>
      <c r="G41" s="51"/>
      <c r="H41" s="84"/>
      <c r="I41" s="51"/>
      <c r="J41" s="165"/>
      <c r="N41" s="19"/>
    </row>
    <row r="42" spans="1:14" ht="15.75" customHeight="1" x14ac:dyDescent="0.2">
      <c r="A42" s="10" t="s">
        <v>14</v>
      </c>
      <c r="B42" s="11" t="s">
        <v>54</v>
      </c>
      <c r="C42" s="11" t="s">
        <v>15</v>
      </c>
      <c r="D42" s="322" t="s">
        <v>13</v>
      </c>
      <c r="E42" s="11" t="s">
        <v>13</v>
      </c>
      <c r="F42" s="297">
        <f>F43+F48+F83+F80</f>
        <v>1051204.6000000001</v>
      </c>
      <c r="G42" s="12"/>
      <c r="H42" s="169"/>
      <c r="I42" s="168"/>
    </row>
    <row r="43" spans="1:14" ht="31.5" customHeight="1" x14ac:dyDescent="0.2">
      <c r="A43" s="14" t="s">
        <v>55</v>
      </c>
      <c r="B43" s="7" t="s">
        <v>54</v>
      </c>
      <c r="C43" s="7" t="s">
        <v>56</v>
      </c>
      <c r="D43" s="8"/>
      <c r="E43" s="7"/>
      <c r="F43" s="294">
        <f>F44</f>
        <v>4862</v>
      </c>
      <c r="G43" s="12"/>
      <c r="H43" s="13"/>
    </row>
    <row r="44" spans="1:14" ht="31.5" customHeight="1" x14ac:dyDescent="0.2">
      <c r="A44" s="14" t="s">
        <v>18</v>
      </c>
      <c r="B44" s="7" t="s">
        <v>54</v>
      </c>
      <c r="C44" s="7" t="s">
        <v>56</v>
      </c>
      <c r="D44" s="8" t="s">
        <v>19</v>
      </c>
      <c r="E44" s="7"/>
      <c r="F44" s="294">
        <f>F45</f>
        <v>4862</v>
      </c>
      <c r="G44" s="12"/>
      <c r="H44" s="13"/>
    </row>
    <row r="45" spans="1:14" ht="15.75" customHeight="1" x14ac:dyDescent="0.2">
      <c r="A45" s="14" t="s">
        <v>57</v>
      </c>
      <c r="B45" s="7" t="s">
        <v>54</v>
      </c>
      <c r="C45" s="7" t="s">
        <v>56</v>
      </c>
      <c r="D45" s="8" t="s">
        <v>58</v>
      </c>
      <c r="E45" s="7" t="s">
        <v>13</v>
      </c>
      <c r="F45" s="294">
        <f>F46</f>
        <v>4862</v>
      </c>
      <c r="G45" s="12"/>
      <c r="H45" s="13"/>
    </row>
    <row r="46" spans="1:14" ht="15.75" customHeight="1" x14ac:dyDescent="0.2">
      <c r="A46" s="14" t="s">
        <v>773</v>
      </c>
      <c r="B46" s="7" t="s">
        <v>54</v>
      </c>
      <c r="C46" s="7" t="s">
        <v>56</v>
      </c>
      <c r="D46" s="8" t="s">
        <v>59</v>
      </c>
      <c r="E46" s="7"/>
      <c r="F46" s="294">
        <f>F47</f>
        <v>4862</v>
      </c>
      <c r="G46" s="12"/>
      <c r="H46" s="13"/>
    </row>
    <row r="47" spans="1:14" ht="31.5" customHeight="1" x14ac:dyDescent="0.2">
      <c r="A47" s="14" t="s">
        <v>25</v>
      </c>
      <c r="B47" s="7" t="s">
        <v>54</v>
      </c>
      <c r="C47" s="7" t="s">
        <v>56</v>
      </c>
      <c r="D47" s="8" t="s">
        <v>59</v>
      </c>
      <c r="E47" s="7">
        <v>120</v>
      </c>
      <c r="F47" s="294">
        <f>5119-257</f>
        <v>4862</v>
      </c>
      <c r="G47" s="18"/>
      <c r="H47" s="13"/>
    </row>
    <row r="48" spans="1:14" ht="47.25" customHeight="1" x14ac:dyDescent="0.2">
      <c r="A48" s="14" t="s">
        <v>60</v>
      </c>
      <c r="B48" s="7" t="s">
        <v>54</v>
      </c>
      <c r="C48" s="7" t="s">
        <v>61</v>
      </c>
      <c r="D48" s="8"/>
      <c r="E48" s="7"/>
      <c r="F48" s="294">
        <f>F49+F55+F60</f>
        <v>445836.4</v>
      </c>
      <c r="G48" s="16"/>
      <c r="H48" s="13"/>
    </row>
    <row r="49" spans="1:10" ht="57.75" customHeight="1" x14ac:dyDescent="0.2">
      <c r="A49" s="20" t="s">
        <v>75</v>
      </c>
      <c r="B49" s="21" t="s">
        <v>54</v>
      </c>
      <c r="C49" s="7" t="s">
        <v>61</v>
      </c>
      <c r="D49" s="22" t="s">
        <v>76</v>
      </c>
      <c r="E49" s="21" t="s">
        <v>13</v>
      </c>
      <c r="F49" s="294">
        <f>F50</f>
        <v>500</v>
      </c>
      <c r="G49" s="12"/>
      <c r="H49" s="13"/>
    </row>
    <row r="50" spans="1:10" ht="15" customHeight="1" x14ac:dyDescent="0.2">
      <c r="A50" s="20" t="s">
        <v>77</v>
      </c>
      <c r="B50" s="21" t="s">
        <v>54</v>
      </c>
      <c r="C50" s="7" t="s">
        <v>61</v>
      </c>
      <c r="D50" s="22" t="s">
        <v>78</v>
      </c>
      <c r="E50" s="21" t="s">
        <v>13</v>
      </c>
      <c r="F50" s="294">
        <f>F51+F53</f>
        <v>500</v>
      </c>
      <c r="G50" s="23"/>
      <c r="H50" s="13"/>
    </row>
    <row r="51" spans="1:10" ht="21.75" customHeight="1" x14ac:dyDescent="0.2">
      <c r="A51" s="20" t="s">
        <v>47</v>
      </c>
      <c r="B51" s="21">
        <v>902</v>
      </c>
      <c r="C51" s="7" t="s">
        <v>61</v>
      </c>
      <c r="D51" s="22" t="s">
        <v>79</v>
      </c>
      <c r="E51" s="21"/>
      <c r="F51" s="294">
        <f>F52</f>
        <v>500</v>
      </c>
      <c r="G51" s="12"/>
      <c r="H51" s="13"/>
    </row>
    <row r="52" spans="1:10" ht="33" customHeight="1" x14ac:dyDescent="0.2">
      <c r="A52" s="20" t="s">
        <v>25</v>
      </c>
      <c r="B52" s="21" t="s">
        <v>54</v>
      </c>
      <c r="C52" s="7" t="s">
        <v>61</v>
      </c>
      <c r="D52" s="22" t="s">
        <v>79</v>
      </c>
      <c r="E52" s="21">
        <v>120</v>
      </c>
      <c r="F52" s="294">
        <v>500</v>
      </c>
      <c r="G52" s="17"/>
      <c r="H52" s="13"/>
    </row>
    <row r="53" spans="1:10" ht="32.25" customHeight="1" x14ac:dyDescent="0.2">
      <c r="A53" s="24" t="s">
        <v>80</v>
      </c>
      <c r="B53" s="21" t="s">
        <v>54</v>
      </c>
      <c r="C53" s="7" t="s">
        <v>61</v>
      </c>
      <c r="D53" s="22" t="s">
        <v>81</v>
      </c>
      <c r="E53" s="21"/>
      <c r="F53" s="294">
        <f>F54</f>
        <v>0</v>
      </c>
      <c r="G53" s="17"/>
      <c r="H53" s="13"/>
    </row>
    <row r="54" spans="1:10" ht="31.5" customHeight="1" x14ac:dyDescent="0.2">
      <c r="A54" s="14" t="s">
        <v>43</v>
      </c>
      <c r="B54" s="21" t="s">
        <v>54</v>
      </c>
      <c r="C54" s="7" t="s">
        <v>61</v>
      </c>
      <c r="D54" s="22" t="s">
        <v>81</v>
      </c>
      <c r="E54" s="21">
        <v>240</v>
      </c>
      <c r="F54" s="294">
        <f>200-200</f>
        <v>0</v>
      </c>
      <c r="G54" s="17"/>
      <c r="H54" s="13"/>
    </row>
    <row r="55" spans="1:10" ht="63" customHeight="1" x14ac:dyDescent="0.2">
      <c r="A55" s="20" t="s">
        <v>92</v>
      </c>
      <c r="B55" s="21" t="s">
        <v>54</v>
      </c>
      <c r="C55" s="7" t="s">
        <v>61</v>
      </c>
      <c r="D55" s="22" t="s">
        <v>93</v>
      </c>
      <c r="E55" s="21" t="s">
        <v>13</v>
      </c>
      <c r="F55" s="294">
        <f>F56</f>
        <v>77.7</v>
      </c>
      <c r="G55" s="12"/>
      <c r="H55" s="13"/>
    </row>
    <row r="56" spans="1:10" ht="31.5" customHeight="1" x14ac:dyDescent="0.2">
      <c r="A56" s="20" t="s">
        <v>94</v>
      </c>
      <c r="B56" s="21" t="s">
        <v>54</v>
      </c>
      <c r="C56" s="7" t="s">
        <v>61</v>
      </c>
      <c r="D56" s="22" t="s">
        <v>95</v>
      </c>
      <c r="E56" s="21" t="s">
        <v>13</v>
      </c>
      <c r="F56" s="294">
        <f>F57</f>
        <v>77.7</v>
      </c>
      <c r="G56" s="12"/>
      <c r="H56" s="13"/>
    </row>
    <row r="57" spans="1:10" ht="34.5" customHeight="1" x14ac:dyDescent="0.2">
      <c r="A57" s="20" t="s">
        <v>99</v>
      </c>
      <c r="B57" s="21" t="s">
        <v>54</v>
      </c>
      <c r="C57" s="7" t="s">
        <v>61</v>
      </c>
      <c r="D57" s="22" t="s">
        <v>100</v>
      </c>
      <c r="E57" s="21" t="s">
        <v>13</v>
      </c>
      <c r="F57" s="294">
        <f>F58</f>
        <v>77.7</v>
      </c>
      <c r="G57" s="12"/>
      <c r="H57" s="13"/>
    </row>
    <row r="58" spans="1:10" ht="27" customHeight="1" x14ac:dyDescent="0.2">
      <c r="A58" s="306" t="s">
        <v>47</v>
      </c>
      <c r="B58" s="21" t="s">
        <v>54</v>
      </c>
      <c r="C58" s="7" t="s">
        <v>61</v>
      </c>
      <c r="D58" s="22" t="s">
        <v>1003</v>
      </c>
      <c r="E58" s="21"/>
      <c r="F58" s="294">
        <f>F59</f>
        <v>77.7</v>
      </c>
      <c r="G58" s="12"/>
      <c r="H58" s="13"/>
    </row>
    <row r="59" spans="1:10" ht="31.5" customHeight="1" x14ac:dyDescent="0.2">
      <c r="A59" s="20" t="s">
        <v>25</v>
      </c>
      <c r="B59" s="21" t="s">
        <v>54</v>
      </c>
      <c r="C59" s="7" t="s">
        <v>61</v>
      </c>
      <c r="D59" s="22" t="s">
        <v>1003</v>
      </c>
      <c r="E59" s="21">
        <v>120</v>
      </c>
      <c r="F59" s="294">
        <f>77.7</f>
        <v>77.7</v>
      </c>
      <c r="G59" s="17"/>
      <c r="H59" s="13"/>
    </row>
    <row r="60" spans="1:10" ht="31.5" customHeight="1" x14ac:dyDescent="0.2">
      <c r="A60" s="14" t="s">
        <v>18</v>
      </c>
      <c r="B60" s="7" t="s">
        <v>54</v>
      </c>
      <c r="C60" s="7" t="s">
        <v>61</v>
      </c>
      <c r="D60" s="8" t="s">
        <v>19</v>
      </c>
      <c r="E60" s="7"/>
      <c r="F60" s="294">
        <f>F61</f>
        <v>445258.7</v>
      </c>
      <c r="G60" s="12"/>
      <c r="H60" s="13"/>
    </row>
    <row r="61" spans="1:10" ht="15.75" customHeight="1" x14ac:dyDescent="0.2">
      <c r="A61" s="14" t="s">
        <v>62</v>
      </c>
      <c r="B61" s="7" t="s">
        <v>54</v>
      </c>
      <c r="C61" s="7" t="s">
        <v>61</v>
      </c>
      <c r="D61" s="8" t="s">
        <v>63</v>
      </c>
      <c r="E61" s="7"/>
      <c r="F61" s="294">
        <f>F62</f>
        <v>445258.7</v>
      </c>
      <c r="G61" s="12"/>
      <c r="H61" s="13"/>
    </row>
    <row r="62" spans="1:10" ht="15.75" customHeight="1" x14ac:dyDescent="0.2">
      <c r="A62" s="14" t="s">
        <v>29</v>
      </c>
      <c r="B62" s="7" t="s">
        <v>54</v>
      </c>
      <c r="C62" s="7" t="s">
        <v>61</v>
      </c>
      <c r="D62" s="8" t="s">
        <v>64</v>
      </c>
      <c r="E62" s="7"/>
      <c r="F62" s="294">
        <f>F63+F65</f>
        <v>445258.7</v>
      </c>
      <c r="G62" s="12"/>
      <c r="H62" s="13"/>
    </row>
    <row r="63" spans="1:10" ht="15.75" customHeight="1" x14ac:dyDescent="0.2">
      <c r="A63" s="14" t="s">
        <v>773</v>
      </c>
      <c r="B63" s="7" t="s">
        <v>54</v>
      </c>
      <c r="C63" s="7" t="s">
        <v>61</v>
      </c>
      <c r="D63" s="8" t="s">
        <v>65</v>
      </c>
      <c r="E63" s="7"/>
      <c r="F63" s="294">
        <f>F64</f>
        <v>426143.7</v>
      </c>
      <c r="G63" s="12"/>
      <c r="H63" s="13"/>
    </row>
    <row r="64" spans="1:10" ht="31.5" customHeight="1" x14ac:dyDescent="0.2">
      <c r="A64" s="14" t="s">
        <v>25</v>
      </c>
      <c r="B64" s="7" t="s">
        <v>54</v>
      </c>
      <c r="C64" s="7" t="s">
        <v>61</v>
      </c>
      <c r="D64" s="8" t="s">
        <v>65</v>
      </c>
      <c r="E64" s="7">
        <v>120</v>
      </c>
      <c r="F64" s="294">
        <f>409208+13478.5+13026.8-9569.6</f>
        <v>426143.7</v>
      </c>
      <c r="G64" s="62"/>
      <c r="H64" s="62"/>
      <c r="I64" s="272"/>
      <c r="J64" s="206"/>
    </row>
    <row r="65" spans="1:8" ht="21.75" customHeight="1" x14ac:dyDescent="0.2">
      <c r="A65" s="14" t="s">
        <v>66</v>
      </c>
      <c r="B65" s="7" t="s">
        <v>54</v>
      </c>
      <c r="C65" s="7" t="s">
        <v>61</v>
      </c>
      <c r="D65" s="8">
        <v>5520460000</v>
      </c>
      <c r="E65" s="7" t="s">
        <v>13</v>
      </c>
      <c r="F65" s="294">
        <f>F66+F68+F71+F74+F77</f>
        <v>19115</v>
      </c>
      <c r="G65" s="12"/>
      <c r="H65" s="13"/>
    </row>
    <row r="66" spans="1:8" ht="47.25" customHeight="1" x14ac:dyDescent="0.2">
      <c r="A66" s="20" t="s">
        <v>67</v>
      </c>
      <c r="B66" s="21" t="s">
        <v>54</v>
      </c>
      <c r="C66" s="21" t="s">
        <v>61</v>
      </c>
      <c r="D66" s="22" t="s">
        <v>68</v>
      </c>
      <c r="E66" s="21" t="s">
        <v>13</v>
      </c>
      <c r="F66" s="294">
        <f>SUM(F67:F67)</f>
        <v>1695.7</v>
      </c>
      <c r="G66" s="12"/>
      <c r="H66" s="13"/>
    </row>
    <row r="67" spans="1:8" ht="31.5" customHeight="1" x14ac:dyDescent="0.2">
      <c r="A67" s="20" t="s">
        <v>25</v>
      </c>
      <c r="B67" s="21" t="s">
        <v>54</v>
      </c>
      <c r="C67" s="21" t="s">
        <v>61</v>
      </c>
      <c r="D67" s="22">
        <v>5520462010</v>
      </c>
      <c r="E67" s="21">
        <v>120</v>
      </c>
      <c r="F67" s="294">
        <v>1695.7</v>
      </c>
      <c r="G67" s="23"/>
      <c r="H67" s="13"/>
    </row>
    <row r="68" spans="1:8" ht="78.75" customHeight="1" x14ac:dyDescent="0.2">
      <c r="A68" s="20" t="s">
        <v>70</v>
      </c>
      <c r="B68" s="21" t="s">
        <v>54</v>
      </c>
      <c r="C68" s="21" t="s">
        <v>61</v>
      </c>
      <c r="D68" s="22" t="s">
        <v>790</v>
      </c>
      <c r="E68" s="21" t="s">
        <v>13</v>
      </c>
      <c r="F68" s="294">
        <f>SUM(F69:F70)</f>
        <v>5798</v>
      </c>
      <c r="G68" s="12"/>
      <c r="H68" s="13"/>
    </row>
    <row r="69" spans="1:8" ht="30" customHeight="1" x14ac:dyDescent="0.2">
      <c r="A69" s="20" t="s">
        <v>25</v>
      </c>
      <c r="B69" s="21" t="s">
        <v>54</v>
      </c>
      <c r="C69" s="21" t="s">
        <v>61</v>
      </c>
      <c r="D69" s="22">
        <v>5520462090</v>
      </c>
      <c r="E69" s="21">
        <v>120</v>
      </c>
      <c r="F69" s="208">
        <v>5133</v>
      </c>
      <c r="G69" s="31"/>
      <c r="H69" s="13"/>
    </row>
    <row r="70" spans="1:8" ht="31.5" customHeight="1" x14ac:dyDescent="0.2">
      <c r="A70" s="14" t="s">
        <v>43</v>
      </c>
      <c r="B70" s="21" t="s">
        <v>54</v>
      </c>
      <c r="C70" s="21" t="s">
        <v>61</v>
      </c>
      <c r="D70" s="22">
        <v>5520462090</v>
      </c>
      <c r="E70" s="21">
        <v>240</v>
      </c>
      <c r="F70" s="294">
        <v>665</v>
      </c>
      <c r="G70" s="31"/>
      <c r="H70" s="13"/>
    </row>
    <row r="71" spans="1:8" ht="63" customHeight="1" x14ac:dyDescent="0.2">
      <c r="A71" s="20" t="s">
        <v>71</v>
      </c>
      <c r="B71" s="21" t="s">
        <v>54</v>
      </c>
      <c r="C71" s="21" t="s">
        <v>61</v>
      </c>
      <c r="D71" s="22" t="s">
        <v>72</v>
      </c>
      <c r="E71" s="21" t="s">
        <v>13</v>
      </c>
      <c r="F71" s="294">
        <f>SUM(F72:F73)</f>
        <v>3223.6</v>
      </c>
      <c r="G71" s="12"/>
      <c r="H71" s="13"/>
    </row>
    <row r="72" spans="1:8" ht="29.25" customHeight="1" x14ac:dyDescent="0.2">
      <c r="A72" s="20" t="s">
        <v>25</v>
      </c>
      <c r="B72" s="21" t="s">
        <v>54</v>
      </c>
      <c r="C72" s="21" t="s">
        <v>61</v>
      </c>
      <c r="D72" s="22">
        <v>5520462210</v>
      </c>
      <c r="E72" s="21">
        <v>120</v>
      </c>
      <c r="F72" s="294">
        <v>2826.2</v>
      </c>
      <c r="G72" s="23"/>
      <c r="H72" s="13"/>
    </row>
    <row r="73" spans="1:8" ht="31.5" customHeight="1" x14ac:dyDescent="0.2">
      <c r="A73" s="14" t="s">
        <v>43</v>
      </c>
      <c r="B73" s="21">
        <v>902</v>
      </c>
      <c r="C73" s="21" t="s">
        <v>61</v>
      </c>
      <c r="D73" s="22">
        <v>5520462210</v>
      </c>
      <c r="E73" s="21">
        <v>240</v>
      </c>
      <c r="F73" s="294">
        <v>397.4</v>
      </c>
      <c r="G73" s="12"/>
      <c r="H73" s="13"/>
    </row>
    <row r="74" spans="1:8" ht="31.5" customHeight="1" x14ac:dyDescent="0.2">
      <c r="A74" s="20" t="s">
        <v>73</v>
      </c>
      <c r="B74" s="21" t="s">
        <v>54</v>
      </c>
      <c r="C74" s="21" t="s">
        <v>61</v>
      </c>
      <c r="D74" s="22" t="s">
        <v>74</v>
      </c>
      <c r="E74" s="21" t="s">
        <v>13</v>
      </c>
      <c r="F74" s="294">
        <f>SUM(F75:F76)</f>
        <v>8197</v>
      </c>
      <c r="G74" s="12"/>
      <c r="H74" s="13"/>
    </row>
    <row r="75" spans="1:8" ht="42" customHeight="1" x14ac:dyDescent="0.2">
      <c r="A75" s="20" t="s">
        <v>25</v>
      </c>
      <c r="B75" s="21" t="s">
        <v>54</v>
      </c>
      <c r="C75" s="21" t="s">
        <v>61</v>
      </c>
      <c r="D75" s="22" t="s">
        <v>74</v>
      </c>
      <c r="E75" s="21">
        <v>120</v>
      </c>
      <c r="F75" s="208">
        <v>6730</v>
      </c>
      <c r="G75" s="265"/>
      <c r="H75" s="13"/>
    </row>
    <row r="76" spans="1:8" ht="31.5" customHeight="1" x14ac:dyDescent="0.2">
      <c r="A76" s="14" t="s">
        <v>43</v>
      </c>
      <c r="B76" s="21" t="s">
        <v>54</v>
      </c>
      <c r="C76" s="21" t="s">
        <v>61</v>
      </c>
      <c r="D76" s="22" t="s">
        <v>74</v>
      </c>
      <c r="E76" s="21">
        <v>240</v>
      </c>
      <c r="F76" s="208">
        <v>1467</v>
      </c>
      <c r="G76" s="265"/>
      <c r="H76" s="13"/>
    </row>
    <row r="77" spans="1:8" ht="63" customHeight="1" x14ac:dyDescent="0.2">
      <c r="A77" s="24" t="s">
        <v>785</v>
      </c>
      <c r="B77" s="21" t="s">
        <v>54</v>
      </c>
      <c r="C77" s="21" t="s">
        <v>61</v>
      </c>
      <c r="D77" s="22" t="s">
        <v>786</v>
      </c>
      <c r="E77" s="21"/>
      <c r="F77" s="294">
        <f>F78+F79</f>
        <v>200.7</v>
      </c>
      <c r="G77" s="26"/>
      <c r="H77" s="13"/>
    </row>
    <row r="78" spans="1:8" ht="31.5" customHeight="1" x14ac:dyDescent="0.2">
      <c r="A78" s="20" t="s">
        <v>25</v>
      </c>
      <c r="B78" s="21" t="s">
        <v>54</v>
      </c>
      <c r="C78" s="21" t="s">
        <v>61</v>
      </c>
      <c r="D78" s="22" t="s">
        <v>786</v>
      </c>
      <c r="E78" s="21">
        <v>120</v>
      </c>
      <c r="F78" s="294">
        <v>187.7</v>
      </c>
      <c r="G78" s="26"/>
      <c r="H78" s="13"/>
    </row>
    <row r="79" spans="1:8" ht="31.5" customHeight="1" x14ac:dyDescent="0.2">
      <c r="A79" s="14" t="s">
        <v>43</v>
      </c>
      <c r="B79" s="21" t="s">
        <v>54</v>
      </c>
      <c r="C79" s="21" t="s">
        <v>61</v>
      </c>
      <c r="D79" s="22" t="s">
        <v>786</v>
      </c>
      <c r="E79" s="21">
        <v>240</v>
      </c>
      <c r="F79" s="294">
        <f>13</f>
        <v>13</v>
      </c>
      <c r="G79" s="26"/>
      <c r="H79" s="13"/>
    </row>
    <row r="80" spans="1:8" ht="31.5" customHeight="1" x14ac:dyDescent="0.2">
      <c r="A80" s="24" t="s">
        <v>1026</v>
      </c>
      <c r="B80" s="21" t="s">
        <v>54</v>
      </c>
      <c r="C80" s="21" t="s">
        <v>1027</v>
      </c>
      <c r="D80" s="22"/>
      <c r="E80" s="21"/>
      <c r="F80" s="208">
        <f>F81</f>
        <v>1508.5</v>
      </c>
      <c r="G80" s="26"/>
      <c r="H80" s="13"/>
    </row>
    <row r="81" spans="1:8" ht="31.5" customHeight="1" x14ac:dyDescent="0.2">
      <c r="A81" s="24" t="s">
        <v>1028</v>
      </c>
      <c r="B81" s="21" t="s">
        <v>54</v>
      </c>
      <c r="C81" s="21" t="s">
        <v>1027</v>
      </c>
      <c r="D81" s="22" t="s">
        <v>1029</v>
      </c>
      <c r="E81" s="21"/>
      <c r="F81" s="208">
        <f>F82</f>
        <v>1508.5</v>
      </c>
      <c r="G81" s="26"/>
      <c r="H81" s="13"/>
    </row>
    <row r="82" spans="1:8" ht="31.5" customHeight="1" x14ac:dyDescent="0.2">
      <c r="A82" s="24" t="s">
        <v>43</v>
      </c>
      <c r="B82" s="21" t="s">
        <v>54</v>
      </c>
      <c r="C82" s="21" t="s">
        <v>1027</v>
      </c>
      <c r="D82" s="22" t="s">
        <v>1029</v>
      </c>
      <c r="E82" s="21">
        <v>240</v>
      </c>
      <c r="F82" s="208">
        <v>1508.5</v>
      </c>
      <c r="G82" s="26"/>
      <c r="H82" s="13"/>
    </row>
    <row r="83" spans="1:8" ht="15.75" customHeight="1" x14ac:dyDescent="0.2">
      <c r="A83" s="20" t="s">
        <v>32</v>
      </c>
      <c r="B83" s="21" t="s">
        <v>54</v>
      </c>
      <c r="C83" s="21" t="s">
        <v>33</v>
      </c>
      <c r="D83" s="22" t="s">
        <v>13</v>
      </c>
      <c r="E83" s="21" t="s">
        <v>13</v>
      </c>
      <c r="F83" s="294">
        <f>F142+F88+F92+F106+F113+F119+F84</f>
        <v>598997.69999999995</v>
      </c>
      <c r="G83" s="171"/>
      <c r="H83" s="13"/>
    </row>
    <row r="84" spans="1:8" ht="37.5" customHeight="1" x14ac:dyDescent="0.2">
      <c r="A84" s="20" t="s">
        <v>83</v>
      </c>
      <c r="B84" s="21" t="s">
        <v>54</v>
      </c>
      <c r="C84" s="21" t="s">
        <v>33</v>
      </c>
      <c r="D84" s="22" t="s">
        <v>84</v>
      </c>
      <c r="E84" s="21"/>
      <c r="F84" s="294">
        <f>F85</f>
        <v>651.5</v>
      </c>
      <c r="G84" s="171"/>
      <c r="H84" s="13"/>
    </row>
    <row r="85" spans="1:8" ht="35.25" customHeight="1" x14ac:dyDescent="0.2">
      <c r="A85" s="305" t="s">
        <v>1002</v>
      </c>
      <c r="B85" s="21" t="s">
        <v>54</v>
      </c>
      <c r="C85" s="21" t="s">
        <v>33</v>
      </c>
      <c r="D85" s="22" t="s">
        <v>1000</v>
      </c>
      <c r="E85" s="21"/>
      <c r="F85" s="294">
        <f>F86</f>
        <v>651.5</v>
      </c>
      <c r="G85" s="171"/>
      <c r="H85" s="13"/>
    </row>
    <row r="86" spans="1:8" ht="35.25" customHeight="1" x14ac:dyDescent="0.2">
      <c r="A86" s="20" t="s">
        <v>82</v>
      </c>
      <c r="B86" s="21" t="s">
        <v>54</v>
      </c>
      <c r="C86" s="21" t="s">
        <v>33</v>
      </c>
      <c r="D86" s="22" t="s">
        <v>1001</v>
      </c>
      <c r="E86" s="21"/>
      <c r="F86" s="294">
        <f>F87</f>
        <v>651.5</v>
      </c>
      <c r="G86" s="171"/>
      <c r="H86" s="13"/>
    </row>
    <row r="87" spans="1:8" ht="34.5" customHeight="1" x14ac:dyDescent="0.2">
      <c r="A87" s="14" t="s">
        <v>43</v>
      </c>
      <c r="B87" s="21" t="s">
        <v>54</v>
      </c>
      <c r="C87" s="21" t="s">
        <v>33</v>
      </c>
      <c r="D87" s="22" t="s">
        <v>1001</v>
      </c>
      <c r="E87" s="21">
        <v>240</v>
      </c>
      <c r="F87" s="294">
        <v>651.5</v>
      </c>
      <c r="G87" s="171"/>
      <c r="H87" s="13"/>
    </row>
    <row r="88" spans="1:8" ht="47.25" customHeight="1" x14ac:dyDescent="0.2">
      <c r="A88" s="20" t="s">
        <v>85</v>
      </c>
      <c r="B88" s="21" t="s">
        <v>54</v>
      </c>
      <c r="C88" s="21" t="s">
        <v>33</v>
      </c>
      <c r="D88" s="22" t="s">
        <v>86</v>
      </c>
      <c r="E88" s="21" t="s">
        <v>13</v>
      </c>
      <c r="F88" s="294">
        <f>F89</f>
        <v>600</v>
      </c>
      <c r="G88" s="12"/>
      <c r="H88" s="13"/>
    </row>
    <row r="89" spans="1:8" ht="63" customHeight="1" x14ac:dyDescent="0.2">
      <c r="A89" s="20" t="s">
        <v>87</v>
      </c>
      <c r="B89" s="21" t="s">
        <v>54</v>
      </c>
      <c r="C89" s="21" t="s">
        <v>33</v>
      </c>
      <c r="D89" s="22" t="s">
        <v>88</v>
      </c>
      <c r="E89" s="21" t="s">
        <v>13</v>
      </c>
      <c r="F89" s="294">
        <f>SUM(F90)</f>
        <v>600</v>
      </c>
      <c r="G89" s="12"/>
      <c r="H89" s="13"/>
    </row>
    <row r="90" spans="1:8" ht="31.5" customHeight="1" x14ac:dyDescent="0.2">
      <c r="A90" s="20" t="s">
        <v>82</v>
      </c>
      <c r="B90" s="21" t="s">
        <v>54</v>
      </c>
      <c r="C90" s="21" t="s">
        <v>33</v>
      </c>
      <c r="D90" s="22" t="s">
        <v>89</v>
      </c>
      <c r="E90" s="21"/>
      <c r="F90" s="294">
        <f>F91</f>
        <v>600</v>
      </c>
      <c r="G90" s="12"/>
      <c r="H90" s="13"/>
    </row>
    <row r="91" spans="1:8" ht="31.5" customHeight="1" x14ac:dyDescent="0.2">
      <c r="A91" s="14" t="s">
        <v>43</v>
      </c>
      <c r="B91" s="21" t="s">
        <v>54</v>
      </c>
      <c r="C91" s="21" t="s">
        <v>33</v>
      </c>
      <c r="D91" s="22" t="s">
        <v>89</v>
      </c>
      <c r="E91" s="21">
        <v>240</v>
      </c>
      <c r="F91" s="294">
        <v>600</v>
      </c>
      <c r="G91" s="17"/>
      <c r="H91" s="13"/>
    </row>
    <row r="92" spans="1:8" ht="63" customHeight="1" x14ac:dyDescent="0.2">
      <c r="A92" s="20" t="s">
        <v>92</v>
      </c>
      <c r="B92" s="21" t="s">
        <v>54</v>
      </c>
      <c r="C92" s="21" t="s">
        <v>33</v>
      </c>
      <c r="D92" s="22" t="s">
        <v>93</v>
      </c>
      <c r="E92" s="21" t="s">
        <v>13</v>
      </c>
      <c r="F92" s="294">
        <f>F93+F97</f>
        <v>420.3</v>
      </c>
      <c r="G92" s="12"/>
      <c r="H92" s="13"/>
    </row>
    <row r="93" spans="1:8" ht="47.25" customHeight="1" x14ac:dyDescent="0.2">
      <c r="A93" s="20" t="s">
        <v>376</v>
      </c>
      <c r="B93" s="21" t="s">
        <v>54</v>
      </c>
      <c r="C93" s="21" t="s">
        <v>33</v>
      </c>
      <c r="D93" s="22" t="s">
        <v>377</v>
      </c>
      <c r="E93" s="21" t="s">
        <v>13</v>
      </c>
      <c r="F93" s="294">
        <f>F94</f>
        <v>30</v>
      </c>
      <c r="G93" s="12"/>
      <c r="H93" s="13"/>
    </row>
    <row r="94" spans="1:8" ht="61.5" customHeight="1" x14ac:dyDescent="0.2">
      <c r="A94" s="24" t="s">
        <v>518</v>
      </c>
      <c r="B94" s="21" t="s">
        <v>54</v>
      </c>
      <c r="C94" s="21" t="s">
        <v>33</v>
      </c>
      <c r="D94" s="22" t="s">
        <v>519</v>
      </c>
      <c r="E94" s="21" t="s">
        <v>13</v>
      </c>
      <c r="F94" s="294">
        <f>F95</f>
        <v>30</v>
      </c>
      <c r="G94" s="12"/>
      <c r="H94" s="13"/>
    </row>
    <row r="95" spans="1:8" ht="31.5" customHeight="1" x14ac:dyDescent="0.2">
      <c r="A95" s="24" t="s">
        <v>82</v>
      </c>
      <c r="B95" s="21" t="s">
        <v>54</v>
      </c>
      <c r="C95" s="21" t="s">
        <v>33</v>
      </c>
      <c r="D95" s="22" t="s">
        <v>520</v>
      </c>
      <c r="E95" s="21"/>
      <c r="F95" s="294">
        <f>F96</f>
        <v>30</v>
      </c>
      <c r="G95" s="12"/>
      <c r="H95" s="13"/>
    </row>
    <row r="96" spans="1:8" ht="31.5" customHeight="1" x14ac:dyDescent="0.2">
      <c r="A96" s="14" t="s">
        <v>43</v>
      </c>
      <c r="B96" s="21">
        <v>902</v>
      </c>
      <c r="C96" s="21" t="s">
        <v>33</v>
      </c>
      <c r="D96" s="22" t="s">
        <v>520</v>
      </c>
      <c r="E96" s="21">
        <v>240</v>
      </c>
      <c r="F96" s="294">
        <f>30</f>
        <v>30</v>
      </c>
      <c r="G96" s="17"/>
      <c r="H96" s="13"/>
    </row>
    <row r="97" spans="1:8" ht="31.5" customHeight="1" x14ac:dyDescent="0.2">
      <c r="A97" s="20" t="s">
        <v>94</v>
      </c>
      <c r="B97" s="21" t="s">
        <v>54</v>
      </c>
      <c r="C97" s="21" t="s">
        <v>33</v>
      </c>
      <c r="D97" s="22" t="s">
        <v>95</v>
      </c>
      <c r="E97" s="21" t="s">
        <v>13</v>
      </c>
      <c r="F97" s="294">
        <f>F98+F101</f>
        <v>390.3</v>
      </c>
      <c r="G97" s="12"/>
      <c r="H97" s="13"/>
    </row>
    <row r="98" spans="1:8" ht="31.5" customHeight="1" x14ac:dyDescent="0.2">
      <c r="A98" s="20" t="s">
        <v>96</v>
      </c>
      <c r="B98" s="21" t="s">
        <v>54</v>
      </c>
      <c r="C98" s="21" t="s">
        <v>33</v>
      </c>
      <c r="D98" s="22" t="s">
        <v>97</v>
      </c>
      <c r="E98" s="21" t="s">
        <v>13</v>
      </c>
      <c r="F98" s="294">
        <f>F99</f>
        <v>390.3</v>
      </c>
      <c r="G98" s="12"/>
      <c r="H98" s="13"/>
    </row>
    <row r="99" spans="1:8" ht="31.5" customHeight="1" x14ac:dyDescent="0.2">
      <c r="A99" s="24" t="s">
        <v>82</v>
      </c>
      <c r="B99" s="21" t="s">
        <v>54</v>
      </c>
      <c r="C99" s="21" t="s">
        <v>33</v>
      </c>
      <c r="D99" s="22" t="s">
        <v>98</v>
      </c>
      <c r="E99" s="21"/>
      <c r="F99" s="294">
        <f>F100</f>
        <v>390.3</v>
      </c>
      <c r="G99" s="12"/>
      <c r="H99" s="13"/>
    </row>
    <row r="100" spans="1:8" ht="31.5" customHeight="1" x14ac:dyDescent="0.2">
      <c r="A100" s="14" t="s">
        <v>43</v>
      </c>
      <c r="B100" s="21" t="s">
        <v>54</v>
      </c>
      <c r="C100" s="21" t="s">
        <v>33</v>
      </c>
      <c r="D100" s="22" t="s">
        <v>98</v>
      </c>
      <c r="E100" s="21">
        <v>240</v>
      </c>
      <c r="F100" s="294">
        <v>390.3</v>
      </c>
      <c r="G100" s="12"/>
      <c r="H100" s="13"/>
    </row>
    <row r="101" spans="1:8" ht="34.5" customHeight="1" x14ac:dyDescent="0.2">
      <c r="A101" s="20" t="s">
        <v>99</v>
      </c>
      <c r="B101" s="21" t="s">
        <v>54</v>
      </c>
      <c r="C101" s="21" t="s">
        <v>33</v>
      </c>
      <c r="D101" s="22" t="s">
        <v>100</v>
      </c>
      <c r="E101" s="21" t="s">
        <v>13</v>
      </c>
      <c r="F101" s="294">
        <f>F102+F104</f>
        <v>0</v>
      </c>
      <c r="G101" s="12"/>
      <c r="H101" s="13"/>
    </row>
    <row r="102" spans="1:8" ht="27" customHeight="1" x14ac:dyDescent="0.2">
      <c r="A102" s="306" t="s">
        <v>47</v>
      </c>
      <c r="B102" s="21" t="s">
        <v>54</v>
      </c>
      <c r="C102" s="21" t="s">
        <v>33</v>
      </c>
      <c r="D102" s="22" t="s">
        <v>1003</v>
      </c>
      <c r="E102" s="21"/>
      <c r="F102" s="294">
        <f>F103</f>
        <v>0</v>
      </c>
      <c r="G102" s="12"/>
      <c r="H102" s="13"/>
    </row>
    <row r="103" spans="1:8" ht="31.5" customHeight="1" x14ac:dyDescent="0.2">
      <c r="A103" s="20" t="s">
        <v>25</v>
      </c>
      <c r="B103" s="21" t="s">
        <v>54</v>
      </c>
      <c r="C103" s="21" t="s">
        <v>33</v>
      </c>
      <c r="D103" s="22" t="s">
        <v>1003</v>
      </c>
      <c r="E103" s="21">
        <v>120</v>
      </c>
      <c r="F103" s="294">
        <f>77.7-77.7</f>
        <v>0</v>
      </c>
      <c r="G103" s="109"/>
      <c r="H103" s="13"/>
    </row>
    <row r="104" spans="1:8" ht="31.5" customHeight="1" x14ac:dyDescent="0.2">
      <c r="A104" s="24" t="s">
        <v>80</v>
      </c>
      <c r="B104" s="21" t="s">
        <v>54</v>
      </c>
      <c r="C104" s="21" t="s">
        <v>33</v>
      </c>
      <c r="D104" s="22" t="s">
        <v>101</v>
      </c>
      <c r="E104" s="21"/>
      <c r="F104" s="294">
        <f>F105</f>
        <v>0</v>
      </c>
      <c r="G104" s="12"/>
      <c r="H104" s="13"/>
    </row>
    <row r="105" spans="1:8" ht="31.5" customHeight="1" x14ac:dyDescent="0.2">
      <c r="A105" s="14" t="s">
        <v>43</v>
      </c>
      <c r="B105" s="21" t="s">
        <v>54</v>
      </c>
      <c r="C105" s="21" t="s">
        <v>33</v>
      </c>
      <c r="D105" s="22" t="s">
        <v>101</v>
      </c>
      <c r="E105" s="21">
        <v>240</v>
      </c>
      <c r="F105" s="294">
        <f>32-32</f>
        <v>0</v>
      </c>
      <c r="G105" s="17"/>
      <c r="H105" s="13"/>
    </row>
    <row r="106" spans="1:8" ht="31.5" customHeight="1" x14ac:dyDescent="0.2">
      <c r="A106" s="20" t="s">
        <v>102</v>
      </c>
      <c r="B106" s="21" t="s">
        <v>54</v>
      </c>
      <c r="C106" s="21" t="s">
        <v>33</v>
      </c>
      <c r="D106" s="22" t="s">
        <v>103</v>
      </c>
      <c r="E106" s="21" t="s">
        <v>13</v>
      </c>
      <c r="F106" s="294">
        <f>F107</f>
        <v>1788.6</v>
      </c>
      <c r="G106" s="12"/>
      <c r="H106" s="13"/>
    </row>
    <row r="107" spans="1:8" ht="31.5" customHeight="1" x14ac:dyDescent="0.2">
      <c r="A107" s="20" t="s">
        <v>104</v>
      </c>
      <c r="B107" s="21" t="s">
        <v>54</v>
      </c>
      <c r="C107" s="21" t="s">
        <v>33</v>
      </c>
      <c r="D107" s="22" t="s">
        <v>105</v>
      </c>
      <c r="E107" s="21" t="s">
        <v>13</v>
      </c>
      <c r="F107" s="294">
        <f>F108</f>
        <v>1788.6</v>
      </c>
      <c r="G107" s="12"/>
      <c r="H107" s="13"/>
    </row>
    <row r="108" spans="1:8" ht="31.5" customHeight="1" x14ac:dyDescent="0.2">
      <c r="A108" s="20" t="s">
        <v>106</v>
      </c>
      <c r="B108" s="21" t="s">
        <v>54</v>
      </c>
      <c r="C108" s="21" t="s">
        <v>33</v>
      </c>
      <c r="D108" s="22" t="s">
        <v>107</v>
      </c>
      <c r="E108" s="21" t="s">
        <v>13</v>
      </c>
      <c r="F108" s="294">
        <f>F109+F111</f>
        <v>1788.6</v>
      </c>
      <c r="G108" s="12"/>
      <c r="H108" s="13"/>
    </row>
    <row r="109" spans="1:8" ht="31.5" customHeight="1" x14ac:dyDescent="0.2">
      <c r="A109" s="20" t="s">
        <v>82</v>
      </c>
      <c r="B109" s="21" t="s">
        <v>54</v>
      </c>
      <c r="C109" s="21" t="s">
        <v>33</v>
      </c>
      <c r="D109" s="22" t="s">
        <v>108</v>
      </c>
      <c r="E109" s="21"/>
      <c r="F109" s="294">
        <f>F110</f>
        <v>93.6</v>
      </c>
      <c r="G109" s="12"/>
      <c r="H109" s="13"/>
    </row>
    <row r="110" spans="1:8" ht="31.5" customHeight="1" x14ac:dyDescent="0.2">
      <c r="A110" s="14" t="s">
        <v>43</v>
      </c>
      <c r="B110" s="21" t="s">
        <v>54</v>
      </c>
      <c r="C110" s="21" t="s">
        <v>33</v>
      </c>
      <c r="D110" s="22" t="s">
        <v>108</v>
      </c>
      <c r="E110" s="21">
        <v>240</v>
      </c>
      <c r="F110" s="294">
        <v>93.6</v>
      </c>
      <c r="G110" s="109"/>
      <c r="H110" s="13"/>
    </row>
    <row r="111" spans="1:8" ht="31.5" customHeight="1" x14ac:dyDescent="0.2">
      <c r="A111" s="20" t="s">
        <v>109</v>
      </c>
      <c r="B111" s="21" t="s">
        <v>54</v>
      </c>
      <c r="C111" s="21" t="s">
        <v>33</v>
      </c>
      <c r="D111" s="22" t="s">
        <v>110</v>
      </c>
      <c r="E111" s="21"/>
      <c r="F111" s="294">
        <f>F112</f>
        <v>1695</v>
      </c>
      <c r="G111" s="12"/>
      <c r="H111" s="13"/>
    </row>
    <row r="112" spans="1:8" ht="31.5" customHeight="1" x14ac:dyDescent="0.2">
      <c r="A112" s="14" t="s">
        <v>43</v>
      </c>
      <c r="B112" s="21" t="s">
        <v>54</v>
      </c>
      <c r="C112" s="21" t="s">
        <v>33</v>
      </c>
      <c r="D112" s="22" t="s">
        <v>110</v>
      </c>
      <c r="E112" s="21">
        <v>240</v>
      </c>
      <c r="F112" s="294">
        <f>995+700</f>
        <v>1695</v>
      </c>
      <c r="G112" s="17"/>
      <c r="H112" s="13"/>
    </row>
    <row r="113" spans="1:8" s="222" customFormat="1" ht="84" customHeight="1" x14ac:dyDescent="0.2">
      <c r="A113" s="14" t="s">
        <v>150</v>
      </c>
      <c r="B113" s="7" t="s">
        <v>54</v>
      </c>
      <c r="C113" s="7" t="s">
        <v>33</v>
      </c>
      <c r="D113" s="8" t="s">
        <v>151</v>
      </c>
      <c r="E113" s="7"/>
      <c r="F113" s="294">
        <f>F114</f>
        <v>2603.1999999999998</v>
      </c>
      <c r="G113" s="220"/>
      <c r="H113" s="221"/>
    </row>
    <row r="114" spans="1:8" s="222" customFormat="1" ht="72" customHeight="1" x14ac:dyDescent="0.2">
      <c r="A114" s="14" t="s">
        <v>157</v>
      </c>
      <c r="B114" s="7" t="s">
        <v>54</v>
      </c>
      <c r="C114" s="7" t="s">
        <v>33</v>
      </c>
      <c r="D114" s="8" t="s">
        <v>158</v>
      </c>
      <c r="E114" s="7"/>
      <c r="F114" s="294">
        <f>F115</f>
        <v>2603.1999999999998</v>
      </c>
      <c r="G114" s="220"/>
      <c r="H114" s="221"/>
    </row>
    <row r="115" spans="1:8" s="222" customFormat="1" ht="51" customHeight="1" x14ac:dyDescent="0.2">
      <c r="A115" s="14" t="s">
        <v>921</v>
      </c>
      <c r="B115" s="7" t="s">
        <v>54</v>
      </c>
      <c r="C115" s="7" t="s">
        <v>33</v>
      </c>
      <c r="D115" s="8" t="s">
        <v>919</v>
      </c>
      <c r="E115" s="7"/>
      <c r="F115" s="294">
        <f>F116</f>
        <v>2603.1999999999998</v>
      </c>
      <c r="G115" s="220"/>
      <c r="H115" s="221"/>
    </row>
    <row r="116" spans="1:8" s="222" customFormat="1" ht="31.5" customHeight="1" x14ac:dyDescent="0.2">
      <c r="A116" s="14" t="s">
        <v>141</v>
      </c>
      <c r="B116" s="7" t="s">
        <v>54</v>
      </c>
      <c r="C116" s="7" t="s">
        <v>33</v>
      </c>
      <c r="D116" s="8" t="s">
        <v>920</v>
      </c>
      <c r="E116" s="7"/>
      <c r="F116" s="294">
        <f>F117+F118</f>
        <v>2603.1999999999998</v>
      </c>
      <c r="G116" s="220"/>
      <c r="H116" s="221"/>
    </row>
    <row r="117" spans="1:8" s="222" customFormat="1" ht="31.5" customHeight="1" x14ac:dyDescent="0.2">
      <c r="A117" s="14" t="s">
        <v>43</v>
      </c>
      <c r="B117" s="7" t="s">
        <v>54</v>
      </c>
      <c r="C117" s="7" t="s">
        <v>33</v>
      </c>
      <c r="D117" s="8" t="s">
        <v>920</v>
      </c>
      <c r="E117" s="7">
        <v>240</v>
      </c>
      <c r="F117" s="294">
        <v>2595.1999999999998</v>
      </c>
      <c r="G117" s="223"/>
      <c r="H117" s="221"/>
    </row>
    <row r="118" spans="1:8" s="222" customFormat="1" ht="31.5" customHeight="1" x14ac:dyDescent="0.2">
      <c r="A118" s="14" t="s">
        <v>44</v>
      </c>
      <c r="B118" s="7" t="s">
        <v>54</v>
      </c>
      <c r="C118" s="7" t="s">
        <v>33</v>
      </c>
      <c r="D118" s="8" t="s">
        <v>920</v>
      </c>
      <c r="E118" s="7">
        <v>850</v>
      </c>
      <c r="F118" s="294">
        <v>8</v>
      </c>
      <c r="G118" s="223"/>
      <c r="H118" s="221"/>
    </row>
    <row r="119" spans="1:8" ht="47.25" customHeight="1" x14ac:dyDescent="0.2">
      <c r="A119" s="20" t="s">
        <v>111</v>
      </c>
      <c r="B119" s="21" t="s">
        <v>54</v>
      </c>
      <c r="C119" s="21" t="s">
        <v>33</v>
      </c>
      <c r="D119" s="22" t="s">
        <v>112</v>
      </c>
      <c r="E119" s="21" t="s">
        <v>13</v>
      </c>
      <c r="F119" s="294">
        <f>F120+F136</f>
        <v>47046.399999999994</v>
      </c>
      <c r="G119" s="12"/>
      <c r="H119" s="13"/>
    </row>
    <row r="120" spans="1:8" ht="47.25" customHeight="1" x14ac:dyDescent="0.2">
      <c r="A120" s="20" t="s">
        <v>113</v>
      </c>
      <c r="B120" s="21" t="s">
        <v>54</v>
      </c>
      <c r="C120" s="21" t="s">
        <v>33</v>
      </c>
      <c r="D120" s="22" t="s">
        <v>114</v>
      </c>
      <c r="E120" s="21" t="s">
        <v>13</v>
      </c>
      <c r="F120" s="294">
        <f>F121+F126+F129+F132</f>
        <v>28602.799999999999</v>
      </c>
      <c r="G120" s="12"/>
      <c r="H120" s="13"/>
    </row>
    <row r="121" spans="1:8" ht="31.5" customHeight="1" x14ac:dyDescent="0.2">
      <c r="A121" s="20" t="s">
        <v>115</v>
      </c>
      <c r="B121" s="21" t="s">
        <v>54</v>
      </c>
      <c r="C121" s="21" t="s">
        <v>33</v>
      </c>
      <c r="D121" s="22" t="s">
        <v>116</v>
      </c>
      <c r="E121" s="21" t="s">
        <v>13</v>
      </c>
      <c r="F121" s="294">
        <f>F122+F124</f>
        <v>6559.3</v>
      </c>
      <c r="G121" s="12"/>
      <c r="H121" s="13"/>
    </row>
    <row r="122" spans="1:8" ht="31.5" customHeight="1" x14ac:dyDescent="0.2">
      <c r="A122" s="20" t="s">
        <v>82</v>
      </c>
      <c r="B122" s="21" t="s">
        <v>54</v>
      </c>
      <c r="C122" s="21" t="s">
        <v>33</v>
      </c>
      <c r="D122" s="22" t="s">
        <v>117</v>
      </c>
      <c r="E122" s="21"/>
      <c r="F122" s="294">
        <f>F123</f>
        <v>1559.3</v>
      </c>
      <c r="G122" s="12"/>
      <c r="H122" s="13"/>
    </row>
    <row r="123" spans="1:8" ht="31.5" customHeight="1" x14ac:dyDescent="0.2">
      <c r="A123" s="14" t="s">
        <v>43</v>
      </c>
      <c r="B123" s="21" t="s">
        <v>54</v>
      </c>
      <c r="C123" s="21" t="s">
        <v>33</v>
      </c>
      <c r="D123" s="22" t="s">
        <v>117</v>
      </c>
      <c r="E123" s="21">
        <v>240</v>
      </c>
      <c r="F123" s="294">
        <f>348.3+1211</f>
        <v>1559.3</v>
      </c>
      <c r="G123" s="254"/>
      <c r="H123" s="13"/>
    </row>
    <row r="124" spans="1:8" ht="31.5" customHeight="1" x14ac:dyDescent="0.2">
      <c r="A124" s="28" t="s">
        <v>922</v>
      </c>
      <c r="B124" s="21" t="s">
        <v>54</v>
      </c>
      <c r="C124" s="21" t="s">
        <v>33</v>
      </c>
      <c r="D124" s="22" t="s">
        <v>118</v>
      </c>
      <c r="E124" s="21"/>
      <c r="F124" s="294">
        <f>F125</f>
        <v>5000</v>
      </c>
      <c r="G124" s="12"/>
      <c r="H124" s="13"/>
    </row>
    <row r="125" spans="1:8" ht="31.5" customHeight="1" x14ac:dyDescent="0.2">
      <c r="A125" s="28" t="s">
        <v>119</v>
      </c>
      <c r="B125" s="21" t="s">
        <v>54</v>
      </c>
      <c r="C125" s="21" t="s">
        <v>33</v>
      </c>
      <c r="D125" s="22" t="s">
        <v>118</v>
      </c>
      <c r="E125" s="21">
        <v>350</v>
      </c>
      <c r="F125" s="294">
        <v>5000</v>
      </c>
      <c r="G125" s="254"/>
      <c r="H125" s="13"/>
    </row>
    <row r="126" spans="1:8" ht="15.75" customHeight="1" x14ac:dyDescent="0.2">
      <c r="A126" s="20" t="s">
        <v>120</v>
      </c>
      <c r="B126" s="21" t="s">
        <v>54</v>
      </c>
      <c r="C126" s="21" t="s">
        <v>33</v>
      </c>
      <c r="D126" s="22" t="s">
        <v>121</v>
      </c>
      <c r="E126" s="21" t="s">
        <v>13</v>
      </c>
      <c r="F126" s="294">
        <f>SUM(F128)</f>
        <v>14740</v>
      </c>
      <c r="G126" s="12"/>
      <c r="H126" s="13"/>
    </row>
    <row r="127" spans="1:8" ht="31.5" customHeight="1" x14ac:dyDescent="0.2">
      <c r="A127" s="20" t="s">
        <v>109</v>
      </c>
      <c r="B127" s="21" t="s">
        <v>54</v>
      </c>
      <c r="C127" s="21" t="s">
        <v>33</v>
      </c>
      <c r="D127" s="22" t="s">
        <v>122</v>
      </c>
      <c r="E127" s="21"/>
      <c r="F127" s="294">
        <f>F128</f>
        <v>14740</v>
      </c>
      <c r="G127" s="12"/>
      <c r="H127" s="13"/>
    </row>
    <row r="128" spans="1:8" ht="31.5" customHeight="1" x14ac:dyDescent="0.2">
      <c r="A128" s="14" t="s">
        <v>43</v>
      </c>
      <c r="B128" s="21" t="s">
        <v>54</v>
      </c>
      <c r="C128" s="21" t="s">
        <v>33</v>
      </c>
      <c r="D128" s="22" t="s">
        <v>122</v>
      </c>
      <c r="E128" s="21">
        <v>240</v>
      </c>
      <c r="F128" s="294">
        <v>14740</v>
      </c>
      <c r="G128" s="270"/>
      <c r="H128" s="13"/>
    </row>
    <row r="129" spans="1:8" ht="37.5" customHeight="1" x14ac:dyDescent="0.2">
      <c r="A129" s="20" t="s">
        <v>123</v>
      </c>
      <c r="B129" s="21" t="s">
        <v>54</v>
      </c>
      <c r="C129" s="21" t="s">
        <v>33</v>
      </c>
      <c r="D129" s="22" t="s">
        <v>124</v>
      </c>
      <c r="E129" s="21" t="s">
        <v>13</v>
      </c>
      <c r="F129" s="294">
        <f>SUM(F131)</f>
        <v>230</v>
      </c>
      <c r="G129" s="12"/>
      <c r="H129" s="13"/>
    </row>
    <row r="130" spans="1:8" ht="31.5" customHeight="1" x14ac:dyDescent="0.2">
      <c r="A130" s="20" t="s">
        <v>82</v>
      </c>
      <c r="B130" s="21" t="s">
        <v>54</v>
      </c>
      <c r="C130" s="21" t="s">
        <v>33</v>
      </c>
      <c r="D130" s="22" t="s">
        <v>125</v>
      </c>
      <c r="E130" s="21"/>
      <c r="F130" s="294">
        <f>F131</f>
        <v>230</v>
      </c>
      <c r="G130" s="107"/>
      <c r="H130" s="13"/>
    </row>
    <row r="131" spans="1:8" ht="31.5" customHeight="1" x14ac:dyDescent="0.2">
      <c r="A131" s="14" t="s">
        <v>43</v>
      </c>
      <c r="B131" s="21" t="s">
        <v>54</v>
      </c>
      <c r="C131" s="21" t="s">
        <v>33</v>
      </c>
      <c r="D131" s="22" t="s">
        <v>125</v>
      </c>
      <c r="E131" s="21">
        <v>240</v>
      </c>
      <c r="F131" s="294">
        <v>230</v>
      </c>
      <c r="G131" s="254"/>
      <c r="H131" s="13"/>
    </row>
    <row r="132" spans="1:8" ht="31.5" customHeight="1" x14ac:dyDescent="0.2">
      <c r="A132" s="20" t="s">
        <v>126</v>
      </c>
      <c r="B132" s="21" t="s">
        <v>54</v>
      </c>
      <c r="C132" s="21" t="s">
        <v>33</v>
      </c>
      <c r="D132" s="22" t="s">
        <v>127</v>
      </c>
      <c r="E132" s="21" t="s">
        <v>13</v>
      </c>
      <c r="F132" s="294">
        <f>F133</f>
        <v>7073.5</v>
      </c>
      <c r="G132" s="12"/>
      <c r="H132" s="13"/>
    </row>
    <row r="133" spans="1:8" ht="31.5" customHeight="1" x14ac:dyDescent="0.2">
      <c r="A133" s="20" t="s">
        <v>82</v>
      </c>
      <c r="B133" s="21" t="s">
        <v>54</v>
      </c>
      <c r="C133" s="21" t="s">
        <v>33</v>
      </c>
      <c r="D133" s="22" t="s">
        <v>128</v>
      </c>
      <c r="E133" s="29"/>
      <c r="F133" s="294">
        <f>F134+F135</f>
        <v>7073.5</v>
      </c>
      <c r="G133" s="12"/>
      <c r="H133" s="13"/>
    </row>
    <row r="134" spans="1:8" ht="31.5" customHeight="1" x14ac:dyDescent="0.2">
      <c r="A134" s="14" t="s">
        <v>43</v>
      </c>
      <c r="B134" s="21" t="s">
        <v>54</v>
      </c>
      <c r="C134" s="21" t="s">
        <v>33</v>
      </c>
      <c r="D134" s="22" t="s">
        <v>128</v>
      </c>
      <c r="E134" s="21">
        <v>240</v>
      </c>
      <c r="F134" s="294">
        <f>5030+818.5+800</f>
        <v>6648.5</v>
      </c>
      <c r="G134" s="264"/>
      <c r="H134" s="13"/>
    </row>
    <row r="135" spans="1:8" ht="15.75" customHeight="1" x14ac:dyDescent="0.2">
      <c r="A135" s="97" t="s">
        <v>44</v>
      </c>
      <c r="B135" s="21" t="s">
        <v>54</v>
      </c>
      <c r="C135" s="21" t="s">
        <v>33</v>
      </c>
      <c r="D135" s="22" t="s">
        <v>128</v>
      </c>
      <c r="E135" s="21">
        <v>850</v>
      </c>
      <c r="F135" s="294">
        <v>425</v>
      </c>
      <c r="G135" s="273"/>
      <c r="H135" s="13"/>
    </row>
    <row r="136" spans="1:8" ht="15.75" customHeight="1" x14ac:dyDescent="0.2">
      <c r="A136" s="20" t="s">
        <v>129</v>
      </c>
      <c r="B136" s="21" t="s">
        <v>54</v>
      </c>
      <c r="C136" s="21" t="s">
        <v>33</v>
      </c>
      <c r="D136" s="22" t="s">
        <v>130</v>
      </c>
      <c r="E136" s="21"/>
      <c r="F136" s="294">
        <f>F137</f>
        <v>18443.599999999999</v>
      </c>
      <c r="G136" s="12"/>
      <c r="H136" s="13"/>
    </row>
    <row r="137" spans="1:8" ht="15.75" customHeight="1" x14ac:dyDescent="0.2">
      <c r="A137" s="20" t="s">
        <v>131</v>
      </c>
      <c r="B137" s="21" t="s">
        <v>54</v>
      </c>
      <c r="C137" s="21" t="s">
        <v>33</v>
      </c>
      <c r="D137" s="22" t="s">
        <v>132</v>
      </c>
      <c r="E137" s="21"/>
      <c r="F137" s="294">
        <f>F139+F141</f>
        <v>18443.599999999999</v>
      </c>
      <c r="G137" s="12"/>
      <c r="H137" s="13"/>
    </row>
    <row r="138" spans="1:8" ht="31.5" customHeight="1" x14ac:dyDescent="0.2">
      <c r="A138" s="20" t="s">
        <v>80</v>
      </c>
      <c r="B138" s="21" t="s">
        <v>54</v>
      </c>
      <c r="C138" s="21" t="s">
        <v>33</v>
      </c>
      <c r="D138" s="22" t="s">
        <v>133</v>
      </c>
      <c r="E138" s="21"/>
      <c r="F138" s="294">
        <f>F139</f>
        <v>200</v>
      </c>
      <c r="G138" s="12"/>
      <c r="H138" s="13"/>
    </row>
    <row r="139" spans="1:8" ht="31.5" customHeight="1" x14ac:dyDescent="0.2">
      <c r="A139" s="14" t="s">
        <v>43</v>
      </c>
      <c r="B139" s="21" t="s">
        <v>54</v>
      </c>
      <c r="C139" s="21" t="s">
        <v>33</v>
      </c>
      <c r="D139" s="22" t="s">
        <v>133</v>
      </c>
      <c r="E139" s="21">
        <v>240</v>
      </c>
      <c r="F139" s="294">
        <v>200</v>
      </c>
      <c r="G139" s="274"/>
      <c r="H139" s="13"/>
    </row>
    <row r="140" spans="1:8" ht="31.5" customHeight="1" x14ac:dyDescent="0.2">
      <c r="A140" s="20" t="s">
        <v>82</v>
      </c>
      <c r="B140" s="21" t="s">
        <v>54</v>
      </c>
      <c r="C140" s="21" t="s">
        <v>33</v>
      </c>
      <c r="D140" s="22" t="s">
        <v>134</v>
      </c>
      <c r="E140" s="21"/>
      <c r="F140" s="294">
        <f>F141</f>
        <v>18243.599999999999</v>
      </c>
      <c r="G140" s="12"/>
      <c r="H140" s="13"/>
    </row>
    <row r="141" spans="1:8" ht="31.5" customHeight="1" x14ac:dyDescent="0.2">
      <c r="A141" s="14" t="s">
        <v>43</v>
      </c>
      <c r="B141" s="21" t="s">
        <v>54</v>
      </c>
      <c r="C141" s="21" t="s">
        <v>33</v>
      </c>
      <c r="D141" s="22" t="s">
        <v>134</v>
      </c>
      <c r="E141" s="21">
        <v>240</v>
      </c>
      <c r="F141" s="294">
        <v>18243.599999999999</v>
      </c>
      <c r="G141" s="108"/>
      <c r="H141" s="13"/>
    </row>
    <row r="142" spans="1:8" ht="15.75" customHeight="1" x14ac:dyDescent="0.2">
      <c r="A142" s="20" t="s">
        <v>34</v>
      </c>
      <c r="B142" s="21" t="s">
        <v>54</v>
      </c>
      <c r="C142" s="21" t="s">
        <v>33</v>
      </c>
      <c r="D142" s="22" t="s">
        <v>35</v>
      </c>
      <c r="E142" s="21" t="s">
        <v>13</v>
      </c>
      <c r="F142" s="294">
        <f>F143+F178</f>
        <v>545887.69999999995</v>
      </c>
      <c r="G142" s="12"/>
      <c r="H142" s="13"/>
    </row>
    <row r="143" spans="1:8" ht="15.75" customHeight="1" x14ac:dyDescent="0.2">
      <c r="A143" s="20" t="s">
        <v>36</v>
      </c>
      <c r="B143" s="21" t="s">
        <v>54</v>
      </c>
      <c r="C143" s="21" t="s">
        <v>33</v>
      </c>
      <c r="D143" s="22" t="s">
        <v>37</v>
      </c>
      <c r="E143" s="21"/>
      <c r="F143" s="294">
        <f>F144+F151+F155+F160+F167+F174</f>
        <v>481519.1</v>
      </c>
      <c r="G143" s="12"/>
      <c r="H143" s="13"/>
    </row>
    <row r="144" spans="1:8" ht="15.75" customHeight="1" x14ac:dyDescent="0.2">
      <c r="A144" s="20" t="s">
        <v>38</v>
      </c>
      <c r="B144" s="21" t="s">
        <v>54</v>
      </c>
      <c r="C144" s="21" t="s">
        <v>33</v>
      </c>
      <c r="D144" s="22" t="s">
        <v>39</v>
      </c>
      <c r="E144" s="21"/>
      <c r="F144" s="294">
        <f>F145+F149</f>
        <v>239696.1</v>
      </c>
      <c r="G144" s="16"/>
      <c r="H144" s="13"/>
    </row>
    <row r="145" spans="1:8" ht="31.5" customHeight="1" x14ac:dyDescent="0.2">
      <c r="A145" s="20" t="s">
        <v>40</v>
      </c>
      <c r="B145" s="21" t="s">
        <v>54</v>
      </c>
      <c r="C145" s="21" t="s">
        <v>33</v>
      </c>
      <c r="D145" s="22" t="s">
        <v>41</v>
      </c>
      <c r="E145" s="21"/>
      <c r="F145" s="294">
        <f>SUM(F146:F148)</f>
        <v>239376.1</v>
      </c>
      <c r="G145" s="12"/>
      <c r="H145" s="13"/>
    </row>
    <row r="146" spans="1:8" ht="15.75" customHeight="1" x14ac:dyDescent="0.2">
      <c r="A146" s="20" t="s">
        <v>42</v>
      </c>
      <c r="B146" s="21" t="s">
        <v>54</v>
      </c>
      <c r="C146" s="21" t="s">
        <v>33</v>
      </c>
      <c r="D146" s="22" t="s">
        <v>41</v>
      </c>
      <c r="E146" s="21">
        <v>110</v>
      </c>
      <c r="F146" s="294">
        <f>228388.2+6098.5</f>
        <v>234486.7</v>
      </c>
      <c r="G146" s="252"/>
      <c r="H146" s="13"/>
    </row>
    <row r="147" spans="1:8" ht="31.5" customHeight="1" x14ac:dyDescent="0.2">
      <c r="A147" s="14" t="s">
        <v>43</v>
      </c>
      <c r="B147" s="21" t="s">
        <v>54</v>
      </c>
      <c r="C147" s="21" t="s">
        <v>33</v>
      </c>
      <c r="D147" s="22" t="s">
        <v>41</v>
      </c>
      <c r="E147" s="21">
        <v>240</v>
      </c>
      <c r="F147" s="294">
        <v>4702.8</v>
      </c>
      <c r="G147" s="252"/>
      <c r="H147" s="13"/>
    </row>
    <row r="148" spans="1:8" ht="15.75" customHeight="1" x14ac:dyDescent="0.2">
      <c r="A148" s="20" t="s">
        <v>44</v>
      </c>
      <c r="B148" s="21" t="s">
        <v>54</v>
      </c>
      <c r="C148" s="21" t="s">
        <v>33</v>
      </c>
      <c r="D148" s="22" t="s">
        <v>41</v>
      </c>
      <c r="E148" s="21">
        <v>850</v>
      </c>
      <c r="F148" s="294">
        <v>186.6</v>
      </c>
      <c r="G148" s="17"/>
      <c r="H148" s="13"/>
    </row>
    <row r="149" spans="1:8" ht="57.75" customHeight="1" x14ac:dyDescent="0.2">
      <c r="A149" s="20" t="s">
        <v>907</v>
      </c>
      <c r="B149" s="21" t="s">
        <v>54</v>
      </c>
      <c r="C149" s="21" t="s">
        <v>33</v>
      </c>
      <c r="D149" s="22" t="s">
        <v>908</v>
      </c>
      <c r="E149" s="21"/>
      <c r="F149" s="294">
        <f>F150</f>
        <v>320</v>
      </c>
      <c r="G149" s="32"/>
      <c r="H149" s="13"/>
    </row>
    <row r="150" spans="1:8" ht="15.75" customHeight="1" x14ac:dyDescent="0.2">
      <c r="A150" s="20" t="s">
        <v>42</v>
      </c>
      <c r="B150" s="21" t="s">
        <v>54</v>
      </c>
      <c r="C150" s="21" t="s">
        <v>33</v>
      </c>
      <c r="D150" s="22" t="s">
        <v>908</v>
      </c>
      <c r="E150" s="21">
        <v>110</v>
      </c>
      <c r="F150" s="294">
        <v>320</v>
      </c>
      <c r="G150" s="17"/>
      <c r="H150" s="13"/>
    </row>
    <row r="151" spans="1:8" ht="47.25" customHeight="1" x14ac:dyDescent="0.2">
      <c r="A151" s="20" t="s">
        <v>135</v>
      </c>
      <c r="B151" s="21" t="s">
        <v>54</v>
      </c>
      <c r="C151" s="21" t="s">
        <v>33</v>
      </c>
      <c r="D151" s="22" t="s">
        <v>136</v>
      </c>
      <c r="E151" s="21"/>
      <c r="F151" s="294">
        <f>F152</f>
        <v>43642.9</v>
      </c>
      <c r="G151" s="32"/>
      <c r="H151" s="13"/>
    </row>
    <row r="152" spans="1:8" ht="31.5" customHeight="1" x14ac:dyDescent="0.2">
      <c r="A152" s="20" t="s">
        <v>40</v>
      </c>
      <c r="B152" s="21" t="s">
        <v>54</v>
      </c>
      <c r="C152" s="21" t="s">
        <v>33</v>
      </c>
      <c r="D152" s="22" t="s">
        <v>137</v>
      </c>
      <c r="E152" s="21"/>
      <c r="F152" s="294">
        <f>F153+F154</f>
        <v>43642.9</v>
      </c>
      <c r="G152" s="16"/>
      <c r="H152" s="13"/>
    </row>
    <row r="153" spans="1:8" ht="15.75" customHeight="1" x14ac:dyDescent="0.2">
      <c r="A153" s="20" t="s">
        <v>42</v>
      </c>
      <c r="B153" s="21" t="s">
        <v>54</v>
      </c>
      <c r="C153" s="21" t="s">
        <v>33</v>
      </c>
      <c r="D153" s="22" t="s">
        <v>137</v>
      </c>
      <c r="E153" s="21">
        <v>110</v>
      </c>
      <c r="F153" s="294">
        <f>41355.8+777.2</f>
        <v>42133</v>
      </c>
      <c r="G153" s="252"/>
      <c r="H153" s="13"/>
    </row>
    <row r="154" spans="1:8" ht="31.5" customHeight="1" x14ac:dyDescent="0.2">
      <c r="A154" s="14" t="s">
        <v>43</v>
      </c>
      <c r="B154" s="21" t="s">
        <v>54</v>
      </c>
      <c r="C154" s="21" t="s">
        <v>33</v>
      </c>
      <c r="D154" s="22" t="s">
        <v>137</v>
      </c>
      <c r="E154" s="21">
        <v>240</v>
      </c>
      <c r="F154" s="294">
        <v>1509.9</v>
      </c>
      <c r="G154" s="17"/>
      <c r="H154" s="13"/>
    </row>
    <row r="155" spans="1:8" ht="47.25" customHeight="1" x14ac:dyDescent="0.2">
      <c r="A155" s="20" t="s">
        <v>138</v>
      </c>
      <c r="B155" s="21" t="s">
        <v>54</v>
      </c>
      <c r="C155" s="21" t="s">
        <v>33</v>
      </c>
      <c r="D155" s="22" t="s">
        <v>139</v>
      </c>
      <c r="E155" s="21"/>
      <c r="F155" s="294">
        <f>F156</f>
        <v>109226.3</v>
      </c>
      <c r="G155" s="185"/>
      <c r="H155" s="160"/>
    </row>
    <row r="156" spans="1:8" ht="31.5" customHeight="1" x14ac:dyDescent="0.2">
      <c r="A156" s="20" t="s">
        <v>40</v>
      </c>
      <c r="B156" s="21" t="s">
        <v>54</v>
      </c>
      <c r="C156" s="21" t="s">
        <v>33</v>
      </c>
      <c r="D156" s="22" t="s">
        <v>140</v>
      </c>
      <c r="E156" s="21"/>
      <c r="F156" s="294">
        <f>F157+F158+F159</f>
        <v>109226.3</v>
      </c>
      <c r="G156" s="185"/>
      <c r="H156" s="160"/>
    </row>
    <row r="157" spans="1:8" ht="20.25" customHeight="1" x14ac:dyDescent="0.2">
      <c r="A157" s="20" t="s">
        <v>42</v>
      </c>
      <c r="B157" s="21" t="s">
        <v>54</v>
      </c>
      <c r="C157" s="21" t="s">
        <v>33</v>
      </c>
      <c r="D157" s="22" t="s">
        <v>140</v>
      </c>
      <c r="E157" s="21">
        <v>110</v>
      </c>
      <c r="F157" s="294">
        <f>112068.5-9355+2111</f>
        <v>104824.5</v>
      </c>
      <c r="G157" s="360"/>
      <c r="H157" s="159"/>
    </row>
    <row r="158" spans="1:8" ht="31.5" customHeight="1" x14ac:dyDescent="0.2">
      <c r="A158" s="14" t="s">
        <v>43</v>
      </c>
      <c r="B158" s="21" t="s">
        <v>54</v>
      </c>
      <c r="C158" s="21" t="s">
        <v>33</v>
      </c>
      <c r="D158" s="22" t="s">
        <v>140</v>
      </c>
      <c r="E158" s="21">
        <v>240</v>
      </c>
      <c r="F158" s="294">
        <v>4056.6</v>
      </c>
      <c r="G158" s="267"/>
      <c r="H158" s="160"/>
    </row>
    <row r="159" spans="1:8" ht="20.25" customHeight="1" x14ac:dyDescent="0.2">
      <c r="A159" s="20" t="s">
        <v>44</v>
      </c>
      <c r="B159" s="21" t="s">
        <v>54</v>
      </c>
      <c r="C159" s="21" t="s">
        <v>33</v>
      </c>
      <c r="D159" s="22" t="s">
        <v>140</v>
      </c>
      <c r="E159" s="21">
        <v>850</v>
      </c>
      <c r="F159" s="294">
        <v>345.2</v>
      </c>
      <c r="G159" s="267"/>
      <c r="H159" s="160"/>
    </row>
    <row r="160" spans="1:8" ht="47.25" customHeight="1" x14ac:dyDescent="0.2">
      <c r="A160" s="20" t="s">
        <v>142</v>
      </c>
      <c r="B160" s="21" t="s">
        <v>54</v>
      </c>
      <c r="C160" s="21" t="s">
        <v>33</v>
      </c>
      <c r="D160" s="323" t="s">
        <v>143</v>
      </c>
      <c r="E160" s="33"/>
      <c r="F160" s="294">
        <f>F161+F165</f>
        <v>0</v>
      </c>
      <c r="G160" s="158"/>
      <c r="H160" s="160"/>
    </row>
    <row r="161" spans="1:8" ht="31.5" customHeight="1" x14ac:dyDescent="0.2">
      <c r="A161" s="20" t="s">
        <v>40</v>
      </c>
      <c r="B161" s="21" t="s">
        <v>54</v>
      </c>
      <c r="C161" s="21" t="s">
        <v>33</v>
      </c>
      <c r="D161" s="323" t="s">
        <v>144</v>
      </c>
      <c r="E161" s="33"/>
      <c r="F161" s="294">
        <f>SUM(F162:F164)</f>
        <v>0</v>
      </c>
      <c r="G161" s="158"/>
      <c r="H161" s="160"/>
    </row>
    <row r="162" spans="1:8" ht="20.25" customHeight="1" x14ac:dyDescent="0.2">
      <c r="A162" s="20" t="s">
        <v>42</v>
      </c>
      <c r="B162" s="21" t="s">
        <v>54</v>
      </c>
      <c r="C162" s="21" t="s">
        <v>33</v>
      </c>
      <c r="D162" s="323" t="s">
        <v>144</v>
      </c>
      <c r="E162" s="21">
        <v>110</v>
      </c>
      <c r="F162" s="294">
        <v>0</v>
      </c>
      <c r="G162" s="345"/>
      <c r="H162" s="159"/>
    </row>
    <row r="163" spans="1:8" ht="31.5" customHeight="1" x14ac:dyDescent="0.2">
      <c r="A163" s="14" t="s">
        <v>43</v>
      </c>
      <c r="B163" s="21" t="s">
        <v>54</v>
      </c>
      <c r="C163" s="21" t="s">
        <v>33</v>
      </c>
      <c r="D163" s="323" t="s">
        <v>144</v>
      </c>
      <c r="E163" s="21">
        <v>240</v>
      </c>
      <c r="F163" s="294">
        <v>0</v>
      </c>
      <c r="G163" s="345"/>
      <c r="H163" s="160"/>
    </row>
    <row r="164" spans="1:8" ht="20.25" x14ac:dyDescent="0.2">
      <c r="A164" s="14" t="s">
        <v>44</v>
      </c>
      <c r="B164" s="21" t="s">
        <v>54</v>
      </c>
      <c r="C164" s="21" t="s">
        <v>33</v>
      </c>
      <c r="D164" s="323" t="s">
        <v>144</v>
      </c>
      <c r="E164" s="21">
        <v>850</v>
      </c>
      <c r="F164" s="294">
        <v>0</v>
      </c>
      <c r="G164" s="345"/>
      <c r="H164" s="160"/>
    </row>
    <row r="165" spans="1:8" ht="47.25" customHeight="1" x14ac:dyDescent="0.2">
      <c r="A165" s="20" t="s">
        <v>907</v>
      </c>
      <c r="B165" s="21" t="s">
        <v>54</v>
      </c>
      <c r="C165" s="21" t="s">
        <v>33</v>
      </c>
      <c r="D165" s="323" t="s">
        <v>909</v>
      </c>
      <c r="E165" s="21"/>
      <c r="F165" s="294">
        <f>F166</f>
        <v>0</v>
      </c>
      <c r="G165" s="346"/>
      <c r="H165" s="160"/>
    </row>
    <row r="166" spans="1:8" ht="31.5" customHeight="1" x14ac:dyDescent="0.2">
      <c r="A166" s="48" t="s">
        <v>42</v>
      </c>
      <c r="B166" s="21" t="s">
        <v>54</v>
      </c>
      <c r="C166" s="21" t="s">
        <v>33</v>
      </c>
      <c r="D166" s="323" t="s">
        <v>909</v>
      </c>
      <c r="E166" s="21">
        <v>110</v>
      </c>
      <c r="F166" s="294">
        <v>0</v>
      </c>
      <c r="G166" s="345"/>
      <c r="H166" s="160"/>
    </row>
    <row r="167" spans="1:8" ht="31.5" customHeight="1" x14ac:dyDescent="0.2">
      <c r="A167" s="48" t="s">
        <v>950</v>
      </c>
      <c r="B167" s="21" t="s">
        <v>54</v>
      </c>
      <c r="C167" s="21" t="s">
        <v>33</v>
      </c>
      <c r="D167" s="323" t="s">
        <v>952</v>
      </c>
      <c r="E167" s="21"/>
      <c r="F167" s="294">
        <f>F168+F172</f>
        <v>69471.599999999991</v>
      </c>
      <c r="G167" s="212"/>
      <c r="H167" s="160"/>
    </row>
    <row r="168" spans="1:8" ht="31.5" customHeight="1" x14ac:dyDescent="0.2">
      <c r="A168" s="48" t="s">
        <v>40</v>
      </c>
      <c r="B168" s="21" t="s">
        <v>54</v>
      </c>
      <c r="C168" s="21" t="s">
        <v>33</v>
      </c>
      <c r="D168" s="323" t="s">
        <v>951</v>
      </c>
      <c r="E168" s="21"/>
      <c r="F168" s="294">
        <f>F169+F170+F171</f>
        <v>69357.2</v>
      </c>
      <c r="G168" s="212"/>
      <c r="H168" s="160"/>
    </row>
    <row r="169" spans="1:8" ht="20.25" x14ac:dyDescent="0.2">
      <c r="A169" s="48" t="s">
        <v>42</v>
      </c>
      <c r="B169" s="21" t="s">
        <v>54</v>
      </c>
      <c r="C169" s="21" t="s">
        <v>33</v>
      </c>
      <c r="D169" s="323" t="s">
        <v>951</v>
      </c>
      <c r="E169" s="21">
        <v>110</v>
      </c>
      <c r="F169" s="294">
        <f>59077.4+446.1+1144</f>
        <v>60667.5</v>
      </c>
      <c r="G169" s="164"/>
      <c r="H169" s="160"/>
    </row>
    <row r="170" spans="1:8" ht="31.5" customHeight="1" x14ac:dyDescent="0.2">
      <c r="A170" s="14" t="s">
        <v>43</v>
      </c>
      <c r="B170" s="21" t="s">
        <v>54</v>
      </c>
      <c r="C170" s="21" t="s">
        <v>33</v>
      </c>
      <c r="D170" s="323" t="s">
        <v>951</v>
      </c>
      <c r="E170" s="21">
        <v>240</v>
      </c>
      <c r="F170" s="294">
        <f>8820+165.8-446.1+135</f>
        <v>8674.6999999999989</v>
      </c>
      <c r="G170" s="212"/>
      <c r="H170" s="160"/>
    </row>
    <row r="171" spans="1:8" ht="31.5" customHeight="1" x14ac:dyDescent="0.2">
      <c r="A171" s="14" t="s">
        <v>44</v>
      </c>
      <c r="B171" s="21" t="s">
        <v>54</v>
      </c>
      <c r="C171" s="21" t="s">
        <v>33</v>
      </c>
      <c r="D171" s="323" t="s">
        <v>951</v>
      </c>
      <c r="E171" s="21">
        <v>850</v>
      </c>
      <c r="F171" s="294">
        <f>150-135</f>
        <v>15</v>
      </c>
      <c r="G171" s="212"/>
      <c r="H171" s="160"/>
    </row>
    <row r="172" spans="1:8" ht="98.25" customHeight="1" x14ac:dyDescent="0.2">
      <c r="A172" s="20" t="s">
        <v>69</v>
      </c>
      <c r="B172" s="21" t="s">
        <v>54</v>
      </c>
      <c r="C172" s="21" t="s">
        <v>33</v>
      </c>
      <c r="D172" s="22" t="s">
        <v>962</v>
      </c>
      <c r="E172" s="21"/>
      <c r="F172" s="294">
        <f>F173</f>
        <v>114.4</v>
      </c>
      <c r="G172" s="247"/>
      <c r="H172" s="160"/>
    </row>
    <row r="173" spans="1:8" ht="31.5" customHeight="1" x14ac:dyDescent="0.2">
      <c r="A173" s="48" t="s">
        <v>42</v>
      </c>
      <c r="B173" s="21" t="s">
        <v>54</v>
      </c>
      <c r="C173" s="21" t="s">
        <v>33</v>
      </c>
      <c r="D173" s="22" t="s">
        <v>962</v>
      </c>
      <c r="E173" s="21">
        <v>110</v>
      </c>
      <c r="F173" s="294">
        <v>114.4</v>
      </c>
      <c r="G173" s="164"/>
      <c r="H173" s="160"/>
    </row>
    <row r="174" spans="1:8" ht="31.5" customHeight="1" x14ac:dyDescent="0.2">
      <c r="A174" s="20" t="s">
        <v>973</v>
      </c>
      <c r="B174" s="21" t="s">
        <v>54</v>
      </c>
      <c r="C174" s="21" t="s">
        <v>33</v>
      </c>
      <c r="D174" s="93" t="s">
        <v>971</v>
      </c>
      <c r="E174" s="21"/>
      <c r="F174" s="294">
        <f>F175</f>
        <v>19482.2</v>
      </c>
      <c r="G174" s="164"/>
      <c r="H174" s="160"/>
    </row>
    <row r="175" spans="1:8" ht="31.5" customHeight="1" x14ac:dyDescent="0.2">
      <c r="A175" s="20" t="s">
        <v>40</v>
      </c>
      <c r="B175" s="21" t="s">
        <v>54</v>
      </c>
      <c r="C175" s="21" t="s">
        <v>33</v>
      </c>
      <c r="D175" s="93" t="s">
        <v>972</v>
      </c>
      <c r="E175" s="21"/>
      <c r="F175" s="294">
        <f>F176+F177</f>
        <v>19482.2</v>
      </c>
      <c r="G175" s="164"/>
      <c r="H175" s="160"/>
    </row>
    <row r="176" spans="1:8" ht="31.5" customHeight="1" x14ac:dyDescent="0.2">
      <c r="A176" s="48" t="s">
        <v>42</v>
      </c>
      <c r="B176" s="21" t="s">
        <v>54</v>
      </c>
      <c r="C176" s="21" t="s">
        <v>33</v>
      </c>
      <c r="D176" s="93" t="s">
        <v>972</v>
      </c>
      <c r="E176" s="21">
        <v>110</v>
      </c>
      <c r="F176" s="294">
        <f>9000+527.2+9600</f>
        <v>19127.2</v>
      </c>
      <c r="G176" s="361"/>
      <c r="H176" s="163"/>
    </row>
    <row r="177" spans="1:11" ht="31.5" customHeight="1" x14ac:dyDescent="0.2">
      <c r="A177" s="48" t="s">
        <v>43</v>
      </c>
      <c r="B177" s="21" t="s">
        <v>54</v>
      </c>
      <c r="C177" s="21" t="s">
        <v>33</v>
      </c>
      <c r="D177" s="93" t="s">
        <v>972</v>
      </c>
      <c r="E177" s="21">
        <v>240</v>
      </c>
      <c r="F177" s="294">
        <v>355</v>
      </c>
      <c r="G177" s="164"/>
      <c r="H177" s="160"/>
    </row>
    <row r="178" spans="1:11" ht="15.75" customHeight="1" x14ac:dyDescent="0.2">
      <c r="A178" s="20" t="s">
        <v>45</v>
      </c>
      <c r="B178" s="21" t="s">
        <v>54</v>
      </c>
      <c r="C178" s="21" t="s">
        <v>33</v>
      </c>
      <c r="D178" s="22" t="s">
        <v>46</v>
      </c>
      <c r="E178" s="7" t="s">
        <v>13</v>
      </c>
      <c r="F178" s="294">
        <f>F179+F182</f>
        <v>64368.6</v>
      </c>
      <c r="G178" s="16"/>
      <c r="H178" s="13"/>
    </row>
    <row r="179" spans="1:11" ht="15.75" customHeight="1" x14ac:dyDescent="0.2">
      <c r="A179" s="20" t="s">
        <v>47</v>
      </c>
      <c r="B179" s="21" t="s">
        <v>54</v>
      </c>
      <c r="C179" s="21" t="s">
        <v>33</v>
      </c>
      <c r="D179" s="22" t="s">
        <v>48</v>
      </c>
      <c r="E179" s="21"/>
      <c r="F179" s="294">
        <f>SUM(F180:F181)</f>
        <v>52546.7</v>
      </c>
      <c r="G179" s="16"/>
      <c r="H179" s="13"/>
    </row>
    <row r="180" spans="1:11" ht="31.5" customHeight="1" x14ac:dyDescent="0.2">
      <c r="A180" s="14" t="s">
        <v>43</v>
      </c>
      <c r="B180" s="21" t="s">
        <v>54</v>
      </c>
      <c r="C180" s="21" t="s">
        <v>33</v>
      </c>
      <c r="D180" s="22" t="s">
        <v>48</v>
      </c>
      <c r="E180" s="21">
        <v>240</v>
      </c>
      <c r="F180" s="294">
        <f>3312.5+46174+796</f>
        <v>50282.5</v>
      </c>
      <c r="G180" s="252"/>
      <c r="H180" s="254"/>
      <c r="I180" s="252"/>
      <c r="J180" s="271"/>
      <c r="K180" s="276"/>
    </row>
    <row r="181" spans="1:11" ht="15.75" customHeight="1" x14ac:dyDescent="0.2">
      <c r="A181" s="20" t="s">
        <v>44</v>
      </c>
      <c r="B181" s="21" t="s">
        <v>54</v>
      </c>
      <c r="C181" s="21" t="s">
        <v>33</v>
      </c>
      <c r="D181" s="22" t="s">
        <v>48</v>
      </c>
      <c r="E181" s="21">
        <v>850</v>
      </c>
      <c r="F181" s="294">
        <f>2230.2+34</f>
        <v>2264.1999999999998</v>
      </c>
      <c r="G181" s="254"/>
      <c r="H181" s="13"/>
    </row>
    <row r="182" spans="1:11" ht="31.5" customHeight="1" x14ac:dyDescent="0.2">
      <c r="A182" s="20" t="s">
        <v>49</v>
      </c>
      <c r="B182" s="21" t="s">
        <v>54</v>
      </c>
      <c r="C182" s="21" t="s">
        <v>33</v>
      </c>
      <c r="D182" s="22" t="s">
        <v>50</v>
      </c>
      <c r="E182" s="21" t="s">
        <v>13</v>
      </c>
      <c r="F182" s="294">
        <f>SUM(F183)</f>
        <v>11821.900000000001</v>
      </c>
      <c r="G182" s="32"/>
      <c r="H182" s="13"/>
    </row>
    <row r="183" spans="1:11" ht="15.75" customHeight="1" x14ac:dyDescent="0.2">
      <c r="A183" s="20" t="s">
        <v>51</v>
      </c>
      <c r="B183" s="21" t="s">
        <v>54</v>
      </c>
      <c r="C183" s="21" t="s">
        <v>33</v>
      </c>
      <c r="D183" s="22" t="s">
        <v>52</v>
      </c>
      <c r="E183" s="21"/>
      <c r="F183" s="294">
        <f>F184+F185+F186</f>
        <v>11821.900000000001</v>
      </c>
      <c r="G183" s="16"/>
      <c r="H183" s="13"/>
    </row>
    <row r="184" spans="1:11" ht="31.5" customHeight="1" x14ac:dyDescent="0.2">
      <c r="A184" s="14" t="s">
        <v>43</v>
      </c>
      <c r="B184" s="21" t="s">
        <v>54</v>
      </c>
      <c r="C184" s="21" t="s">
        <v>33</v>
      </c>
      <c r="D184" s="22" t="s">
        <v>52</v>
      </c>
      <c r="E184" s="21">
        <v>240</v>
      </c>
      <c r="F184" s="294">
        <f>3500+30000-25265.6</f>
        <v>8234.4000000000015</v>
      </c>
      <c r="G184" s="18"/>
      <c r="H184" s="129"/>
      <c r="I184" s="278"/>
    </row>
    <row r="185" spans="1:11" ht="15.75" customHeight="1" x14ac:dyDescent="0.2">
      <c r="A185" s="20" t="s">
        <v>145</v>
      </c>
      <c r="B185" s="21" t="s">
        <v>54</v>
      </c>
      <c r="C185" s="21" t="s">
        <v>33</v>
      </c>
      <c r="D185" s="22" t="s">
        <v>52</v>
      </c>
      <c r="E185" s="21">
        <v>830</v>
      </c>
      <c r="F185" s="294">
        <v>2700</v>
      </c>
      <c r="G185" s="16"/>
      <c r="H185" s="13"/>
    </row>
    <row r="186" spans="1:11" ht="15.75" customHeight="1" x14ac:dyDescent="0.2">
      <c r="A186" s="20" t="s">
        <v>44</v>
      </c>
      <c r="B186" s="21" t="s">
        <v>54</v>
      </c>
      <c r="C186" s="21" t="s">
        <v>33</v>
      </c>
      <c r="D186" s="22" t="s">
        <v>52</v>
      </c>
      <c r="E186" s="21">
        <v>850</v>
      </c>
      <c r="F186" s="294">
        <v>887.5</v>
      </c>
      <c r="G186" s="18"/>
      <c r="H186" s="18"/>
    </row>
    <row r="187" spans="1:11" ht="31.5" customHeight="1" x14ac:dyDescent="0.2">
      <c r="A187" s="34" t="s">
        <v>146</v>
      </c>
      <c r="B187" s="35" t="s">
        <v>54</v>
      </c>
      <c r="C187" s="35" t="s">
        <v>147</v>
      </c>
      <c r="D187" s="36" t="s">
        <v>13</v>
      </c>
      <c r="E187" s="35" t="s">
        <v>13</v>
      </c>
      <c r="F187" s="297">
        <f>F188+F224</f>
        <v>149720.29999999999</v>
      </c>
      <c r="G187" s="12"/>
      <c r="H187" s="13"/>
    </row>
    <row r="188" spans="1:11" ht="31.5" customHeight="1" x14ac:dyDescent="0.2">
      <c r="A188" s="20" t="s">
        <v>148</v>
      </c>
      <c r="B188" s="21" t="s">
        <v>54</v>
      </c>
      <c r="C188" s="21" t="s">
        <v>149</v>
      </c>
      <c r="D188" s="22" t="s">
        <v>13</v>
      </c>
      <c r="E188" s="21" t="s">
        <v>13</v>
      </c>
      <c r="F188" s="294">
        <f>F189</f>
        <v>134283.5</v>
      </c>
      <c r="G188" s="12"/>
      <c r="H188" s="13"/>
    </row>
    <row r="189" spans="1:11" ht="78.75" customHeight="1" x14ac:dyDescent="0.2">
      <c r="A189" s="20" t="s">
        <v>150</v>
      </c>
      <c r="B189" s="21" t="s">
        <v>54</v>
      </c>
      <c r="C189" s="21" t="s">
        <v>149</v>
      </c>
      <c r="D189" s="22" t="s">
        <v>151</v>
      </c>
      <c r="E189" s="21" t="s">
        <v>13</v>
      </c>
      <c r="F189" s="294">
        <f>F190+F200+F220</f>
        <v>134283.5</v>
      </c>
      <c r="G189" s="30"/>
      <c r="H189" s="13"/>
    </row>
    <row r="190" spans="1:11" ht="31.5" customHeight="1" x14ac:dyDescent="0.2">
      <c r="A190" s="20" t="s">
        <v>152</v>
      </c>
      <c r="B190" s="45" t="s">
        <v>54</v>
      </c>
      <c r="C190" s="45" t="s">
        <v>149</v>
      </c>
      <c r="D190" s="302" t="s">
        <v>153</v>
      </c>
      <c r="E190" s="21" t="s">
        <v>13</v>
      </c>
      <c r="F190" s="294">
        <f>F191+F194+F197</f>
        <v>6655</v>
      </c>
      <c r="G190" s="12"/>
      <c r="H190" s="13"/>
    </row>
    <row r="191" spans="1:11" ht="31.5" customHeight="1" x14ac:dyDescent="0.2">
      <c r="A191" s="115" t="s">
        <v>1012</v>
      </c>
      <c r="B191" s="45" t="s">
        <v>54</v>
      </c>
      <c r="C191" s="45" t="s">
        <v>149</v>
      </c>
      <c r="D191" s="302" t="s">
        <v>1010</v>
      </c>
      <c r="E191" s="21"/>
      <c r="F191" s="294">
        <f>F192</f>
        <v>150</v>
      </c>
      <c r="G191" s="12"/>
      <c r="H191" s="13"/>
    </row>
    <row r="192" spans="1:11" ht="31.5" customHeight="1" x14ac:dyDescent="0.2">
      <c r="A192" s="20" t="s">
        <v>82</v>
      </c>
      <c r="B192" s="45" t="s">
        <v>54</v>
      </c>
      <c r="C192" s="45" t="s">
        <v>149</v>
      </c>
      <c r="D192" s="302" t="s">
        <v>1011</v>
      </c>
      <c r="E192" s="21"/>
      <c r="F192" s="294">
        <f>F193</f>
        <v>150</v>
      </c>
      <c r="G192" s="12"/>
      <c r="H192" s="13"/>
    </row>
    <row r="193" spans="1:8" ht="31.5" customHeight="1" x14ac:dyDescent="0.2">
      <c r="A193" s="14" t="s">
        <v>43</v>
      </c>
      <c r="B193" s="45" t="s">
        <v>54</v>
      </c>
      <c r="C193" s="45" t="s">
        <v>149</v>
      </c>
      <c r="D193" s="302" t="s">
        <v>1011</v>
      </c>
      <c r="E193" s="21">
        <v>240</v>
      </c>
      <c r="F193" s="294">
        <v>150</v>
      </c>
      <c r="G193" s="12"/>
      <c r="H193" s="13"/>
    </row>
    <row r="194" spans="1:8" ht="31.5" customHeight="1" x14ac:dyDescent="0.2">
      <c r="A194" s="115" t="s">
        <v>1085</v>
      </c>
      <c r="B194" s="45" t="s">
        <v>54</v>
      </c>
      <c r="C194" s="45" t="s">
        <v>149</v>
      </c>
      <c r="D194" s="350" t="s">
        <v>1086</v>
      </c>
      <c r="E194" s="21"/>
      <c r="F194" s="294">
        <f>F195</f>
        <v>6425</v>
      </c>
      <c r="G194" s="12"/>
      <c r="H194" s="13"/>
    </row>
    <row r="195" spans="1:8" ht="31.5" customHeight="1" x14ac:dyDescent="0.2">
      <c r="A195" s="14" t="s">
        <v>82</v>
      </c>
      <c r="B195" s="45" t="s">
        <v>54</v>
      </c>
      <c r="C195" s="45" t="s">
        <v>149</v>
      </c>
      <c r="D195" s="350" t="s">
        <v>1087</v>
      </c>
      <c r="E195" s="21"/>
      <c r="F195" s="294">
        <f>F196</f>
        <v>6425</v>
      </c>
      <c r="G195" s="12"/>
      <c r="H195" s="13"/>
    </row>
    <row r="196" spans="1:8" ht="31.5" customHeight="1" x14ac:dyDescent="0.2">
      <c r="A196" s="105" t="s">
        <v>43</v>
      </c>
      <c r="B196" s="45" t="s">
        <v>54</v>
      </c>
      <c r="C196" s="45" t="s">
        <v>149</v>
      </c>
      <c r="D196" s="350" t="s">
        <v>1087</v>
      </c>
      <c r="E196" s="21">
        <v>240</v>
      </c>
      <c r="F196" s="294">
        <v>6425</v>
      </c>
      <c r="G196" s="351"/>
      <c r="H196" s="13"/>
    </row>
    <row r="197" spans="1:8" ht="15.75" customHeight="1" x14ac:dyDescent="0.2">
      <c r="A197" s="20" t="s">
        <v>154</v>
      </c>
      <c r="B197" s="21" t="s">
        <v>54</v>
      </c>
      <c r="C197" s="21" t="s">
        <v>149</v>
      </c>
      <c r="D197" s="22" t="s">
        <v>155</v>
      </c>
      <c r="E197" s="21" t="s">
        <v>13</v>
      </c>
      <c r="F197" s="294">
        <f>F198</f>
        <v>80</v>
      </c>
      <c r="G197" s="12"/>
      <c r="H197" s="13"/>
    </row>
    <row r="198" spans="1:8" ht="31.5" customHeight="1" x14ac:dyDescent="0.2">
      <c r="A198" s="20" t="s">
        <v>82</v>
      </c>
      <c r="B198" s="21" t="s">
        <v>54</v>
      </c>
      <c r="C198" s="21" t="s">
        <v>149</v>
      </c>
      <c r="D198" s="22" t="s">
        <v>156</v>
      </c>
      <c r="E198" s="21"/>
      <c r="F198" s="294">
        <f>F199</f>
        <v>80</v>
      </c>
      <c r="G198" s="12"/>
      <c r="H198" s="13"/>
    </row>
    <row r="199" spans="1:8" ht="31.5" customHeight="1" x14ac:dyDescent="0.2">
      <c r="A199" s="14" t="s">
        <v>43</v>
      </c>
      <c r="B199" s="21" t="s">
        <v>54</v>
      </c>
      <c r="C199" s="21" t="s">
        <v>149</v>
      </c>
      <c r="D199" s="22" t="s">
        <v>156</v>
      </c>
      <c r="E199" s="21">
        <v>240</v>
      </c>
      <c r="F199" s="294">
        <v>80</v>
      </c>
      <c r="G199" s="12"/>
      <c r="H199" s="13"/>
    </row>
    <row r="200" spans="1:8" ht="63" customHeight="1" x14ac:dyDescent="0.2">
      <c r="A200" s="20" t="s">
        <v>157</v>
      </c>
      <c r="B200" s="21" t="s">
        <v>54</v>
      </c>
      <c r="C200" s="21" t="s">
        <v>149</v>
      </c>
      <c r="D200" s="22" t="s">
        <v>158</v>
      </c>
      <c r="E200" s="21" t="s">
        <v>13</v>
      </c>
      <c r="F200" s="294">
        <f>F201+F206+F209+F212+F215</f>
        <v>125028.49999999999</v>
      </c>
      <c r="G200" s="12"/>
      <c r="H200" s="13"/>
    </row>
    <row r="201" spans="1:8" ht="31.5" customHeight="1" x14ac:dyDescent="0.2">
      <c r="A201" s="20" t="s">
        <v>159</v>
      </c>
      <c r="B201" s="21" t="s">
        <v>54</v>
      </c>
      <c r="C201" s="21" t="s">
        <v>149</v>
      </c>
      <c r="D201" s="22" t="s">
        <v>160</v>
      </c>
      <c r="E201" s="21" t="s">
        <v>13</v>
      </c>
      <c r="F201" s="294">
        <f>F202+F204</f>
        <v>2783.2000000000003</v>
      </c>
      <c r="G201" s="12"/>
      <c r="H201" s="13"/>
    </row>
    <row r="202" spans="1:8" ht="47.25" customHeight="1" x14ac:dyDescent="0.2">
      <c r="A202" s="20" t="s">
        <v>161</v>
      </c>
      <c r="B202" s="21" t="s">
        <v>54</v>
      </c>
      <c r="C202" s="21" t="s">
        <v>149</v>
      </c>
      <c r="D202" s="22" t="s">
        <v>162</v>
      </c>
      <c r="E202" s="21"/>
      <c r="F202" s="294">
        <f>F203</f>
        <v>128.30000000000001</v>
      </c>
      <c r="G202" s="12"/>
      <c r="H202" s="13"/>
    </row>
    <row r="203" spans="1:8" ht="31.5" customHeight="1" x14ac:dyDescent="0.2">
      <c r="A203" s="14" t="s">
        <v>43</v>
      </c>
      <c r="B203" s="21" t="s">
        <v>54</v>
      </c>
      <c r="C203" s="21" t="s">
        <v>149</v>
      </c>
      <c r="D203" s="22" t="s">
        <v>162</v>
      </c>
      <c r="E203" s="21">
        <v>240</v>
      </c>
      <c r="F203" s="294">
        <v>128.30000000000001</v>
      </c>
      <c r="G203" s="145"/>
      <c r="H203" s="13"/>
    </row>
    <row r="204" spans="1:8" ht="31.5" customHeight="1" x14ac:dyDescent="0.2">
      <c r="A204" s="20" t="s">
        <v>82</v>
      </c>
      <c r="B204" s="21" t="s">
        <v>54</v>
      </c>
      <c r="C204" s="21" t="s">
        <v>149</v>
      </c>
      <c r="D204" s="22" t="s">
        <v>163</v>
      </c>
      <c r="E204" s="21"/>
      <c r="F204" s="294">
        <f>F205</f>
        <v>2654.9</v>
      </c>
      <c r="G204" s="12"/>
      <c r="H204" s="13"/>
    </row>
    <row r="205" spans="1:8" ht="31.5" customHeight="1" x14ac:dyDescent="0.2">
      <c r="A205" s="14" t="s">
        <v>43</v>
      </c>
      <c r="B205" s="21" t="s">
        <v>54</v>
      </c>
      <c r="C205" s="21" t="s">
        <v>149</v>
      </c>
      <c r="D205" s="22" t="s">
        <v>163</v>
      </c>
      <c r="E205" s="21">
        <v>240</v>
      </c>
      <c r="F205" s="294">
        <v>2654.9</v>
      </c>
      <c r="G205" s="12"/>
      <c r="H205" s="13"/>
    </row>
    <row r="206" spans="1:8" ht="31.5" customHeight="1" x14ac:dyDescent="0.2">
      <c r="A206" s="105" t="s">
        <v>1015</v>
      </c>
      <c r="B206" s="21" t="s">
        <v>54</v>
      </c>
      <c r="C206" s="21" t="s">
        <v>149</v>
      </c>
      <c r="D206" s="22" t="s">
        <v>1013</v>
      </c>
      <c r="E206" s="21"/>
      <c r="F206" s="294">
        <f>F207</f>
        <v>80</v>
      </c>
      <c r="G206" s="12"/>
      <c r="H206" s="13"/>
    </row>
    <row r="207" spans="1:8" ht="31.5" customHeight="1" x14ac:dyDescent="0.2">
      <c r="A207" s="20" t="s">
        <v>82</v>
      </c>
      <c r="B207" s="21" t="s">
        <v>54</v>
      </c>
      <c r="C207" s="21" t="s">
        <v>149</v>
      </c>
      <c r="D207" s="22" t="s">
        <v>1014</v>
      </c>
      <c r="E207" s="21"/>
      <c r="F207" s="294">
        <f>F208</f>
        <v>80</v>
      </c>
      <c r="G207" s="12"/>
      <c r="H207" s="13"/>
    </row>
    <row r="208" spans="1:8" ht="31.5" customHeight="1" x14ac:dyDescent="0.2">
      <c r="A208" s="14" t="s">
        <v>43</v>
      </c>
      <c r="B208" s="21" t="s">
        <v>54</v>
      </c>
      <c r="C208" s="21" t="s">
        <v>149</v>
      </c>
      <c r="D208" s="22" t="s">
        <v>1014</v>
      </c>
      <c r="E208" s="21">
        <v>240</v>
      </c>
      <c r="F208" s="294">
        <v>80</v>
      </c>
      <c r="G208" s="12"/>
      <c r="H208" s="13"/>
    </row>
    <row r="209" spans="1:8" ht="31.5" customHeight="1" x14ac:dyDescent="0.2">
      <c r="A209" s="20" t="s">
        <v>164</v>
      </c>
      <c r="B209" s="21" t="s">
        <v>54</v>
      </c>
      <c r="C209" s="21" t="s">
        <v>149</v>
      </c>
      <c r="D209" s="22" t="s">
        <v>165</v>
      </c>
      <c r="E209" s="21" t="s">
        <v>13</v>
      </c>
      <c r="F209" s="294">
        <f>F210</f>
        <v>2724</v>
      </c>
      <c r="G209" s="16"/>
      <c r="H209" s="13"/>
    </row>
    <row r="210" spans="1:8" ht="31.5" customHeight="1" x14ac:dyDescent="0.2">
      <c r="A210" s="20" t="s">
        <v>82</v>
      </c>
      <c r="B210" s="21" t="s">
        <v>54</v>
      </c>
      <c r="C210" s="21" t="s">
        <v>149</v>
      </c>
      <c r="D210" s="22" t="s">
        <v>166</v>
      </c>
      <c r="E210" s="21"/>
      <c r="F210" s="294">
        <f>F211</f>
        <v>2724</v>
      </c>
      <c r="G210" s="16"/>
      <c r="H210" s="13"/>
    </row>
    <row r="211" spans="1:8" ht="31.5" customHeight="1" x14ac:dyDescent="0.2">
      <c r="A211" s="14" t="s">
        <v>43</v>
      </c>
      <c r="B211" s="21" t="s">
        <v>54</v>
      </c>
      <c r="C211" s="21" t="s">
        <v>149</v>
      </c>
      <c r="D211" s="22" t="s">
        <v>166</v>
      </c>
      <c r="E211" s="21">
        <v>240</v>
      </c>
      <c r="F211" s="294">
        <v>2724</v>
      </c>
      <c r="G211" s="216"/>
      <c r="H211" s="13"/>
    </row>
    <row r="212" spans="1:8" ht="31.5" customHeight="1" x14ac:dyDescent="0.2">
      <c r="A212" s="20" t="s">
        <v>167</v>
      </c>
      <c r="B212" s="21" t="s">
        <v>54</v>
      </c>
      <c r="C212" s="21" t="s">
        <v>149</v>
      </c>
      <c r="D212" s="22" t="s">
        <v>168</v>
      </c>
      <c r="E212" s="21"/>
      <c r="F212" s="294">
        <f>F213</f>
        <v>166</v>
      </c>
      <c r="G212" s="16"/>
      <c r="H212" s="13"/>
    </row>
    <row r="213" spans="1:8" ht="31.5" customHeight="1" x14ac:dyDescent="0.2">
      <c r="A213" s="20" t="s">
        <v>82</v>
      </c>
      <c r="B213" s="21" t="s">
        <v>54</v>
      </c>
      <c r="C213" s="21" t="s">
        <v>149</v>
      </c>
      <c r="D213" s="22" t="s">
        <v>169</v>
      </c>
      <c r="E213" s="21"/>
      <c r="F213" s="294">
        <f>F214</f>
        <v>166</v>
      </c>
      <c r="G213" s="16"/>
      <c r="H213" s="13"/>
    </row>
    <row r="214" spans="1:8" ht="36.75" customHeight="1" x14ac:dyDescent="0.2">
      <c r="A214" s="14" t="s">
        <v>43</v>
      </c>
      <c r="B214" s="21" t="s">
        <v>54</v>
      </c>
      <c r="C214" s="21" t="s">
        <v>149</v>
      </c>
      <c r="D214" s="22" t="s">
        <v>169</v>
      </c>
      <c r="E214" s="21">
        <v>240</v>
      </c>
      <c r="F214" s="294">
        <v>166</v>
      </c>
      <c r="G214" s="16"/>
      <c r="H214" s="13"/>
    </row>
    <row r="215" spans="1:8" ht="57" customHeight="1" x14ac:dyDescent="0.2">
      <c r="A215" s="105" t="s">
        <v>918</v>
      </c>
      <c r="B215" s="7" t="s">
        <v>54</v>
      </c>
      <c r="C215" s="7" t="s">
        <v>149</v>
      </c>
      <c r="D215" s="8" t="s">
        <v>916</v>
      </c>
      <c r="E215" s="7"/>
      <c r="F215" s="294">
        <f>F216</f>
        <v>119275.29999999999</v>
      </c>
      <c r="G215" s="16"/>
      <c r="H215" s="13"/>
    </row>
    <row r="216" spans="1:8" ht="36.75" customHeight="1" x14ac:dyDescent="0.2">
      <c r="A216" s="105" t="s">
        <v>40</v>
      </c>
      <c r="B216" s="7" t="s">
        <v>54</v>
      </c>
      <c r="C216" s="7" t="s">
        <v>149</v>
      </c>
      <c r="D216" s="8" t="s">
        <v>917</v>
      </c>
      <c r="E216" s="7"/>
      <c r="F216" s="294">
        <f>F217+F218+F219</f>
        <v>119275.29999999999</v>
      </c>
      <c r="G216" s="16"/>
      <c r="H216" s="13"/>
    </row>
    <row r="217" spans="1:8" ht="22.5" customHeight="1" x14ac:dyDescent="0.2">
      <c r="A217" s="97" t="s">
        <v>42</v>
      </c>
      <c r="B217" s="7" t="s">
        <v>54</v>
      </c>
      <c r="C217" s="7" t="s">
        <v>149</v>
      </c>
      <c r="D217" s="8" t="s">
        <v>917</v>
      </c>
      <c r="E217" s="7">
        <v>110</v>
      </c>
      <c r="F217" s="294">
        <f>108349.4+2619.5</f>
        <v>110968.9</v>
      </c>
      <c r="G217" s="352"/>
      <c r="H217" s="13"/>
    </row>
    <row r="218" spans="1:8" ht="36.75" customHeight="1" x14ac:dyDescent="0.2">
      <c r="A218" s="14" t="s">
        <v>43</v>
      </c>
      <c r="B218" s="7" t="s">
        <v>54</v>
      </c>
      <c r="C218" s="7" t="s">
        <v>149</v>
      </c>
      <c r="D218" s="8" t="s">
        <v>917</v>
      </c>
      <c r="E218" s="95">
        <v>240</v>
      </c>
      <c r="F218" s="294">
        <v>7971.4</v>
      </c>
      <c r="G218" s="248"/>
      <c r="H218" s="13"/>
    </row>
    <row r="219" spans="1:8" ht="20.25" customHeight="1" x14ac:dyDescent="0.2">
      <c r="A219" s="97" t="s">
        <v>44</v>
      </c>
      <c r="B219" s="7" t="s">
        <v>54</v>
      </c>
      <c r="C219" s="7" t="s">
        <v>149</v>
      </c>
      <c r="D219" s="8" t="s">
        <v>917</v>
      </c>
      <c r="E219" s="7">
        <v>850</v>
      </c>
      <c r="F219" s="294">
        <v>335</v>
      </c>
      <c r="G219" s="214"/>
      <c r="H219" s="13"/>
    </row>
    <row r="220" spans="1:8" ht="52.5" customHeight="1" x14ac:dyDescent="0.2">
      <c r="A220" s="88" t="s">
        <v>820</v>
      </c>
      <c r="B220" s="21" t="s">
        <v>54</v>
      </c>
      <c r="C220" s="21" t="s">
        <v>149</v>
      </c>
      <c r="D220" s="8" t="s">
        <v>774</v>
      </c>
      <c r="E220" s="21"/>
      <c r="F220" s="208">
        <f>F221</f>
        <v>2600</v>
      </c>
      <c r="G220" s="16"/>
      <c r="H220" s="13"/>
    </row>
    <row r="221" spans="1:8" ht="36.75" customHeight="1" x14ac:dyDescent="0.2">
      <c r="A221" s="88" t="s">
        <v>910</v>
      </c>
      <c r="B221" s="21" t="s">
        <v>54</v>
      </c>
      <c r="C221" s="21" t="s">
        <v>149</v>
      </c>
      <c r="D221" s="8" t="s">
        <v>912</v>
      </c>
      <c r="E221" s="21"/>
      <c r="F221" s="294">
        <f>F222</f>
        <v>2600</v>
      </c>
      <c r="G221" s="16"/>
      <c r="H221" s="13"/>
    </row>
    <row r="222" spans="1:8" ht="36.75" customHeight="1" x14ac:dyDescent="0.2">
      <c r="A222" s="88" t="s">
        <v>911</v>
      </c>
      <c r="B222" s="21" t="s">
        <v>54</v>
      </c>
      <c r="C222" s="21" t="s">
        <v>149</v>
      </c>
      <c r="D222" s="8" t="s">
        <v>913</v>
      </c>
      <c r="E222" s="21"/>
      <c r="F222" s="294">
        <f>F223</f>
        <v>2600</v>
      </c>
      <c r="G222" s="16"/>
      <c r="H222" s="13"/>
    </row>
    <row r="223" spans="1:8" ht="36.75" customHeight="1" x14ac:dyDescent="0.2">
      <c r="A223" s="14" t="s">
        <v>43</v>
      </c>
      <c r="B223" s="21" t="s">
        <v>54</v>
      </c>
      <c r="C223" s="21" t="s">
        <v>149</v>
      </c>
      <c r="D223" s="8" t="s">
        <v>913</v>
      </c>
      <c r="E223" s="21">
        <v>240</v>
      </c>
      <c r="F223" s="294">
        <v>2600</v>
      </c>
      <c r="G223" s="215"/>
      <c r="H223" s="13"/>
    </row>
    <row r="224" spans="1:8" ht="31.5" customHeight="1" x14ac:dyDescent="0.2">
      <c r="A224" s="20" t="s">
        <v>170</v>
      </c>
      <c r="B224" s="21" t="s">
        <v>54</v>
      </c>
      <c r="C224" s="21" t="s">
        <v>171</v>
      </c>
      <c r="D224" s="22" t="s">
        <v>13</v>
      </c>
      <c r="E224" s="21" t="s">
        <v>13</v>
      </c>
      <c r="F224" s="294">
        <f>F225+F234</f>
        <v>15436.8</v>
      </c>
      <c r="G224" s="12"/>
      <c r="H224" s="13"/>
    </row>
    <row r="225" spans="1:8" ht="63" x14ac:dyDescent="0.2">
      <c r="A225" s="20" t="s">
        <v>92</v>
      </c>
      <c r="B225" s="21" t="s">
        <v>54</v>
      </c>
      <c r="C225" s="21" t="s">
        <v>171</v>
      </c>
      <c r="D225" s="22" t="s">
        <v>93</v>
      </c>
      <c r="E225" s="21" t="s">
        <v>13</v>
      </c>
      <c r="F225" s="294">
        <f>F226</f>
        <v>431.4</v>
      </c>
      <c r="G225" s="12"/>
      <c r="H225" s="13"/>
    </row>
    <row r="226" spans="1:8" ht="31.5" customHeight="1" x14ac:dyDescent="0.2">
      <c r="A226" s="20" t="s">
        <v>177</v>
      </c>
      <c r="B226" s="21" t="s">
        <v>54</v>
      </c>
      <c r="C226" s="21" t="s">
        <v>171</v>
      </c>
      <c r="D226" s="22" t="s">
        <v>178</v>
      </c>
      <c r="E226" s="21" t="s">
        <v>13</v>
      </c>
      <c r="F226" s="294">
        <f>F227</f>
        <v>431.4</v>
      </c>
      <c r="G226" s="12"/>
      <c r="H226" s="13"/>
    </row>
    <row r="227" spans="1:8" ht="78.75" customHeight="1" x14ac:dyDescent="0.2">
      <c r="A227" s="20" t="s">
        <v>179</v>
      </c>
      <c r="B227" s="21" t="s">
        <v>54</v>
      </c>
      <c r="C227" s="21" t="s">
        <v>171</v>
      </c>
      <c r="D227" s="22" t="s">
        <v>180</v>
      </c>
      <c r="E227" s="21" t="s">
        <v>13</v>
      </c>
      <c r="F227" s="294">
        <f>F228+F231</f>
        <v>431.4</v>
      </c>
      <c r="G227" s="12"/>
      <c r="H227" s="13"/>
    </row>
    <row r="228" spans="1:8" ht="31.5" customHeight="1" x14ac:dyDescent="0.2">
      <c r="A228" s="20" t="s">
        <v>82</v>
      </c>
      <c r="B228" s="21" t="s">
        <v>54</v>
      </c>
      <c r="C228" s="21" t="s">
        <v>171</v>
      </c>
      <c r="D228" s="22" t="s">
        <v>182</v>
      </c>
      <c r="E228" s="21"/>
      <c r="F228" s="294">
        <f>F229+F230</f>
        <v>431.4</v>
      </c>
      <c r="G228" s="12"/>
      <c r="H228" s="13"/>
    </row>
    <row r="229" spans="1:8" ht="22.5" customHeight="1" x14ac:dyDescent="0.2">
      <c r="A229" s="20" t="s">
        <v>25</v>
      </c>
      <c r="B229" s="21" t="s">
        <v>54</v>
      </c>
      <c r="C229" s="21" t="s">
        <v>171</v>
      </c>
      <c r="D229" s="22" t="s">
        <v>182</v>
      </c>
      <c r="E229" s="21">
        <v>120</v>
      </c>
      <c r="F229" s="294">
        <f>410+10.4+1</f>
        <v>421.4</v>
      </c>
      <c r="G229" s="17"/>
      <c r="H229" s="39"/>
    </row>
    <row r="230" spans="1:8" ht="38.25" customHeight="1" x14ac:dyDescent="0.2">
      <c r="A230" s="14" t="s">
        <v>43</v>
      </c>
      <c r="B230" s="21" t="s">
        <v>54</v>
      </c>
      <c r="C230" s="21" t="s">
        <v>171</v>
      </c>
      <c r="D230" s="22" t="s">
        <v>182</v>
      </c>
      <c r="E230" s="21">
        <v>240</v>
      </c>
      <c r="F230" s="294">
        <f>10</f>
        <v>10</v>
      </c>
      <c r="H230" s="39"/>
    </row>
    <row r="231" spans="1:8" ht="31.5" customHeight="1" x14ac:dyDescent="0.2">
      <c r="A231" s="20" t="s">
        <v>176</v>
      </c>
      <c r="B231" s="21" t="s">
        <v>54</v>
      </c>
      <c r="C231" s="21" t="s">
        <v>171</v>
      </c>
      <c r="D231" s="22" t="s">
        <v>183</v>
      </c>
      <c r="E231" s="21"/>
      <c r="F231" s="294">
        <f>F232+F233</f>
        <v>0</v>
      </c>
      <c r="G231" s="16"/>
      <c r="H231" s="39"/>
    </row>
    <row r="232" spans="1:8" ht="19.5" customHeight="1" x14ac:dyDescent="0.2">
      <c r="A232" s="20" t="s">
        <v>25</v>
      </c>
      <c r="B232" s="21" t="s">
        <v>54</v>
      </c>
      <c r="C232" s="21" t="s">
        <v>171</v>
      </c>
      <c r="D232" s="22" t="s">
        <v>183</v>
      </c>
      <c r="E232" s="21">
        <v>120</v>
      </c>
      <c r="F232" s="294">
        <f>10+0.4-10.4</f>
        <v>0</v>
      </c>
      <c r="G232" s="17"/>
      <c r="H232" s="39"/>
    </row>
    <row r="233" spans="1:8" ht="39" customHeight="1" x14ac:dyDescent="0.2">
      <c r="A233" s="14" t="s">
        <v>43</v>
      </c>
      <c r="B233" s="21" t="s">
        <v>54</v>
      </c>
      <c r="C233" s="21" t="s">
        <v>171</v>
      </c>
      <c r="D233" s="22" t="s">
        <v>183</v>
      </c>
      <c r="E233" s="21">
        <v>240</v>
      </c>
      <c r="F233" s="294">
        <f>1-1</f>
        <v>0</v>
      </c>
      <c r="G233" s="17"/>
      <c r="H233" s="39"/>
    </row>
    <row r="234" spans="1:8" ht="78.75" x14ac:dyDescent="0.2">
      <c r="A234" s="20" t="s">
        <v>150</v>
      </c>
      <c r="B234" s="21" t="s">
        <v>54</v>
      </c>
      <c r="C234" s="21" t="s">
        <v>171</v>
      </c>
      <c r="D234" s="22" t="s">
        <v>151</v>
      </c>
      <c r="E234" s="7"/>
      <c r="F234" s="294">
        <f>F235</f>
        <v>15005.4</v>
      </c>
      <c r="G234" s="12"/>
      <c r="H234" s="13"/>
    </row>
    <row r="235" spans="1:8" ht="47.25" customHeight="1" x14ac:dyDescent="0.2">
      <c r="A235" s="20" t="s">
        <v>820</v>
      </c>
      <c r="B235" s="21" t="s">
        <v>54</v>
      </c>
      <c r="C235" s="21" t="s">
        <v>171</v>
      </c>
      <c r="D235" s="22" t="s">
        <v>774</v>
      </c>
      <c r="E235" s="7"/>
      <c r="F235" s="294">
        <f>F236+F239+F242</f>
        <v>15005.4</v>
      </c>
      <c r="G235" s="12"/>
      <c r="H235" s="13"/>
    </row>
    <row r="236" spans="1:8" ht="47.25" customHeight="1" x14ac:dyDescent="0.2">
      <c r="A236" s="88" t="s">
        <v>816</v>
      </c>
      <c r="B236" s="21" t="s">
        <v>54</v>
      </c>
      <c r="C236" s="21" t="s">
        <v>171</v>
      </c>
      <c r="D236" s="22" t="s">
        <v>815</v>
      </c>
      <c r="E236" s="7"/>
      <c r="F236" s="294">
        <f>F237</f>
        <v>2681.4</v>
      </c>
      <c r="G236" s="12"/>
      <c r="H236" s="13"/>
    </row>
    <row r="237" spans="1:8" ht="15.75" customHeight="1" x14ac:dyDescent="0.2">
      <c r="A237" s="161" t="s">
        <v>181</v>
      </c>
      <c r="B237" s="21" t="s">
        <v>54</v>
      </c>
      <c r="C237" s="21" t="s">
        <v>171</v>
      </c>
      <c r="D237" s="22" t="s">
        <v>828</v>
      </c>
      <c r="E237" s="7"/>
      <c r="F237" s="294">
        <f>F238</f>
        <v>2681.4</v>
      </c>
      <c r="G237" s="12"/>
      <c r="H237" s="13"/>
    </row>
    <row r="238" spans="1:8" ht="31.5" customHeight="1" x14ac:dyDescent="0.2">
      <c r="A238" s="14" t="s">
        <v>43</v>
      </c>
      <c r="B238" s="21" t="s">
        <v>54</v>
      </c>
      <c r="C238" s="21" t="s">
        <v>171</v>
      </c>
      <c r="D238" s="22" t="s">
        <v>828</v>
      </c>
      <c r="E238" s="7">
        <v>240</v>
      </c>
      <c r="F238" s="294">
        <v>2681.4</v>
      </c>
      <c r="G238" s="217"/>
      <c r="H238" s="13"/>
    </row>
    <row r="239" spans="1:8" ht="31.5" customHeight="1" x14ac:dyDescent="0.2">
      <c r="A239" s="170" t="s">
        <v>1118</v>
      </c>
      <c r="B239" s="21" t="s">
        <v>54</v>
      </c>
      <c r="C239" s="21" t="s">
        <v>171</v>
      </c>
      <c r="D239" s="22" t="s">
        <v>818</v>
      </c>
      <c r="E239" s="7"/>
      <c r="F239" s="294">
        <f>F240</f>
        <v>2200</v>
      </c>
      <c r="G239" s="218"/>
      <c r="H239" s="13"/>
    </row>
    <row r="240" spans="1:8" ht="15.75" customHeight="1" x14ac:dyDescent="0.2">
      <c r="A240" s="161" t="s">
        <v>181</v>
      </c>
      <c r="B240" s="21" t="s">
        <v>54</v>
      </c>
      <c r="C240" s="21" t="s">
        <v>171</v>
      </c>
      <c r="D240" s="22" t="s">
        <v>817</v>
      </c>
      <c r="E240" s="7"/>
      <c r="F240" s="294">
        <f>F241</f>
        <v>2200</v>
      </c>
      <c r="G240" s="218"/>
      <c r="H240" s="13"/>
    </row>
    <row r="241" spans="1:8" ht="31.5" customHeight="1" x14ac:dyDescent="0.2">
      <c r="A241" s="14" t="s">
        <v>43</v>
      </c>
      <c r="B241" s="21" t="s">
        <v>54</v>
      </c>
      <c r="C241" s="21" t="s">
        <v>171</v>
      </c>
      <c r="D241" s="22" t="s">
        <v>817</v>
      </c>
      <c r="E241" s="7">
        <v>240</v>
      </c>
      <c r="F241" s="294">
        <v>2200</v>
      </c>
      <c r="G241" s="217"/>
      <c r="H241" s="13"/>
    </row>
    <row r="242" spans="1:8" ht="31.5" customHeight="1" x14ac:dyDescent="0.2">
      <c r="A242" s="20" t="s">
        <v>821</v>
      </c>
      <c r="B242" s="21" t="s">
        <v>54</v>
      </c>
      <c r="C242" s="21" t="s">
        <v>171</v>
      </c>
      <c r="D242" s="22" t="s">
        <v>775</v>
      </c>
      <c r="E242" s="7"/>
      <c r="F242" s="294">
        <f>F243</f>
        <v>10124</v>
      </c>
      <c r="G242" s="218"/>
      <c r="H242" s="13"/>
    </row>
    <row r="243" spans="1:8" ht="17.25" customHeight="1" x14ac:dyDescent="0.2">
      <c r="A243" s="24" t="s">
        <v>181</v>
      </c>
      <c r="B243" s="21" t="s">
        <v>54</v>
      </c>
      <c r="C243" s="21" t="s">
        <v>171</v>
      </c>
      <c r="D243" s="22" t="s">
        <v>776</v>
      </c>
      <c r="E243" s="7"/>
      <c r="F243" s="294">
        <f>F244</f>
        <v>10124</v>
      </c>
      <c r="G243" s="218"/>
      <c r="H243" s="13"/>
    </row>
    <row r="244" spans="1:8" ht="31.5" customHeight="1" x14ac:dyDescent="0.2">
      <c r="A244" s="14" t="s">
        <v>43</v>
      </c>
      <c r="B244" s="21" t="s">
        <v>54</v>
      </c>
      <c r="C244" s="21" t="s">
        <v>171</v>
      </c>
      <c r="D244" s="22" t="s">
        <v>776</v>
      </c>
      <c r="E244" s="7">
        <v>240</v>
      </c>
      <c r="F244" s="294">
        <v>10124</v>
      </c>
      <c r="G244" s="217"/>
      <c r="H244" s="13"/>
    </row>
    <row r="245" spans="1:8" ht="15.75" customHeight="1" x14ac:dyDescent="0.2">
      <c r="A245" s="34" t="s">
        <v>189</v>
      </c>
      <c r="B245" s="35" t="s">
        <v>54</v>
      </c>
      <c r="C245" s="35" t="s">
        <v>190</v>
      </c>
      <c r="D245" s="36" t="s">
        <v>13</v>
      </c>
      <c r="E245" s="35" t="s">
        <v>13</v>
      </c>
      <c r="F245" s="297">
        <f>F246+F262+F273+F289+F324</f>
        <v>1988894.4000000001</v>
      </c>
      <c r="G245" s="12"/>
      <c r="H245" s="13"/>
    </row>
    <row r="246" spans="1:8" ht="15.75" customHeight="1" x14ac:dyDescent="0.2">
      <c r="A246" s="14" t="s">
        <v>198</v>
      </c>
      <c r="B246" s="7" t="s">
        <v>54</v>
      </c>
      <c r="C246" s="7" t="s">
        <v>199</v>
      </c>
      <c r="D246" s="8" t="s">
        <v>13</v>
      </c>
      <c r="E246" s="7" t="s">
        <v>13</v>
      </c>
      <c r="F246" s="294">
        <f>F247</f>
        <v>9778.9</v>
      </c>
      <c r="G246" s="12"/>
      <c r="H246" s="13"/>
    </row>
    <row r="247" spans="1:8" ht="63" customHeight="1" x14ac:dyDescent="0.2">
      <c r="A247" s="14" t="s">
        <v>200</v>
      </c>
      <c r="B247" s="7" t="s">
        <v>54</v>
      </c>
      <c r="C247" s="7" t="s">
        <v>199</v>
      </c>
      <c r="D247" s="8" t="s">
        <v>201</v>
      </c>
      <c r="E247" s="7" t="s">
        <v>13</v>
      </c>
      <c r="F247" s="294">
        <f>F250+F251+F258+F261</f>
        <v>9778.9</v>
      </c>
      <c r="G247" s="12"/>
      <c r="H247" s="13"/>
    </row>
    <row r="248" spans="1:8" ht="63" customHeight="1" x14ac:dyDescent="0.2">
      <c r="A248" s="14" t="s">
        <v>202</v>
      </c>
      <c r="B248" s="7" t="s">
        <v>54</v>
      </c>
      <c r="C248" s="7" t="s">
        <v>199</v>
      </c>
      <c r="D248" s="8" t="s">
        <v>203</v>
      </c>
      <c r="E248" s="7" t="s">
        <v>13</v>
      </c>
      <c r="F248" s="294">
        <f>SUM(F249)</f>
        <v>4770</v>
      </c>
      <c r="G248" s="12"/>
      <c r="H248" s="13"/>
    </row>
    <row r="249" spans="1:8" ht="47.25" customHeight="1" x14ac:dyDescent="0.2">
      <c r="A249" s="14" t="s">
        <v>204</v>
      </c>
      <c r="B249" s="7" t="s">
        <v>54</v>
      </c>
      <c r="C249" s="7" t="s">
        <v>199</v>
      </c>
      <c r="D249" s="8" t="s">
        <v>205</v>
      </c>
      <c r="E249" s="7"/>
      <c r="F249" s="294">
        <f>F250</f>
        <v>4770</v>
      </c>
      <c r="G249" s="40"/>
      <c r="H249" s="13"/>
    </row>
    <row r="250" spans="1:8" ht="33.75" customHeight="1" x14ac:dyDescent="0.2">
      <c r="A250" s="14" t="s">
        <v>206</v>
      </c>
      <c r="B250" s="7" t="s">
        <v>54</v>
      </c>
      <c r="C250" s="7" t="s">
        <v>199</v>
      </c>
      <c r="D250" s="8" t="s">
        <v>205</v>
      </c>
      <c r="E250" s="7">
        <v>810</v>
      </c>
      <c r="F250" s="294">
        <v>4770</v>
      </c>
      <c r="G250" s="16"/>
      <c r="H250" s="13"/>
    </row>
    <row r="251" spans="1:8" ht="31.5" customHeight="1" x14ac:dyDescent="0.2">
      <c r="A251" s="310" t="s">
        <v>862</v>
      </c>
      <c r="B251" s="7" t="s">
        <v>54</v>
      </c>
      <c r="C251" s="7" t="s">
        <v>199</v>
      </c>
      <c r="D251" s="8" t="s">
        <v>836</v>
      </c>
      <c r="E251" s="7" t="s">
        <v>13</v>
      </c>
      <c r="F251" s="294">
        <f>F252+F254</f>
        <v>3561.9</v>
      </c>
      <c r="G251" s="41"/>
      <c r="H251" s="13"/>
    </row>
    <row r="252" spans="1:8" ht="31.5" customHeight="1" x14ac:dyDescent="0.2">
      <c r="A252" s="234" t="s">
        <v>856</v>
      </c>
      <c r="B252" s="8" t="s">
        <v>54</v>
      </c>
      <c r="C252" s="7" t="s">
        <v>199</v>
      </c>
      <c r="D252" s="8" t="s">
        <v>837</v>
      </c>
      <c r="E252" s="8"/>
      <c r="F252" s="294">
        <f>F253</f>
        <v>3473.9</v>
      </c>
      <c r="G252" s="41"/>
      <c r="H252" s="13"/>
    </row>
    <row r="253" spans="1:8" ht="31.5" customHeight="1" x14ac:dyDescent="0.2">
      <c r="A253" s="14" t="s">
        <v>206</v>
      </c>
      <c r="B253" s="311" t="s">
        <v>54</v>
      </c>
      <c r="C253" s="7" t="s">
        <v>199</v>
      </c>
      <c r="D253" s="8" t="s">
        <v>837</v>
      </c>
      <c r="E253" s="8" t="s">
        <v>207</v>
      </c>
      <c r="F253" s="294">
        <v>3473.9</v>
      </c>
      <c r="G253" s="41"/>
      <c r="H253" s="13"/>
    </row>
    <row r="254" spans="1:8" ht="31.5" customHeight="1" x14ac:dyDescent="0.2">
      <c r="A254" s="312" t="s">
        <v>858</v>
      </c>
      <c r="B254" s="311" t="s">
        <v>54</v>
      </c>
      <c r="C254" s="7" t="s">
        <v>199</v>
      </c>
      <c r="D254" s="8" t="s">
        <v>857</v>
      </c>
      <c r="E254" s="8"/>
      <c r="F254" s="294">
        <f>F255</f>
        <v>88</v>
      </c>
      <c r="G254" s="41"/>
      <c r="H254" s="13"/>
    </row>
    <row r="255" spans="1:8" ht="31.5" customHeight="1" x14ac:dyDescent="0.2">
      <c r="A255" s="14" t="s">
        <v>206</v>
      </c>
      <c r="B255" s="311" t="s">
        <v>54</v>
      </c>
      <c r="C255" s="7" t="s">
        <v>199</v>
      </c>
      <c r="D255" s="8" t="s">
        <v>857</v>
      </c>
      <c r="E255" s="8" t="s">
        <v>207</v>
      </c>
      <c r="F255" s="294">
        <v>88</v>
      </c>
      <c r="G255" s="41"/>
      <c r="H255" s="13"/>
    </row>
    <row r="256" spans="1:8" ht="47.25" customHeight="1" x14ac:dyDescent="0.2">
      <c r="A256" s="14" t="s">
        <v>208</v>
      </c>
      <c r="B256" s="7" t="s">
        <v>54</v>
      </c>
      <c r="C256" s="7" t="s">
        <v>199</v>
      </c>
      <c r="D256" s="8" t="s">
        <v>209</v>
      </c>
      <c r="E256" s="7" t="s">
        <v>13</v>
      </c>
      <c r="F256" s="294">
        <f>F258</f>
        <v>447</v>
      </c>
      <c r="G256" s="12"/>
      <c r="H256" s="13"/>
    </row>
    <row r="257" spans="1:8" ht="47.25" customHeight="1" x14ac:dyDescent="0.2">
      <c r="A257" s="14" t="s">
        <v>210</v>
      </c>
      <c r="B257" s="7" t="s">
        <v>54</v>
      </c>
      <c r="C257" s="7" t="s">
        <v>199</v>
      </c>
      <c r="D257" s="8" t="s">
        <v>211</v>
      </c>
      <c r="E257" s="7"/>
      <c r="F257" s="294">
        <f>F258</f>
        <v>447</v>
      </c>
      <c r="G257" s="12"/>
      <c r="H257" s="13"/>
    </row>
    <row r="258" spans="1:8" ht="31.5" customHeight="1" x14ac:dyDescent="0.2">
      <c r="A258" s="14" t="s">
        <v>206</v>
      </c>
      <c r="B258" s="7" t="s">
        <v>54</v>
      </c>
      <c r="C258" s="7" t="s">
        <v>199</v>
      </c>
      <c r="D258" s="8" t="s">
        <v>211</v>
      </c>
      <c r="E258" s="7">
        <v>810</v>
      </c>
      <c r="F258" s="294">
        <v>447</v>
      </c>
      <c r="G258" s="16"/>
      <c r="H258" s="13"/>
    </row>
    <row r="259" spans="1:8" ht="15.75" customHeight="1" x14ac:dyDescent="0.2">
      <c r="A259" s="14" t="s">
        <v>212</v>
      </c>
      <c r="B259" s="7" t="s">
        <v>54</v>
      </c>
      <c r="C259" s="7" t="s">
        <v>199</v>
      </c>
      <c r="D259" s="8" t="s">
        <v>213</v>
      </c>
      <c r="E259" s="7" t="s">
        <v>13</v>
      </c>
      <c r="F259" s="294">
        <f>SUM(F260)</f>
        <v>1000</v>
      </c>
      <c r="G259" s="12"/>
      <c r="H259" s="13"/>
    </row>
    <row r="260" spans="1:8" ht="31.5" customHeight="1" x14ac:dyDescent="0.2">
      <c r="A260" s="20" t="s">
        <v>82</v>
      </c>
      <c r="B260" s="7" t="s">
        <v>54</v>
      </c>
      <c r="C260" s="7" t="s">
        <v>199</v>
      </c>
      <c r="D260" s="8" t="s">
        <v>214</v>
      </c>
      <c r="E260" s="7"/>
      <c r="F260" s="294">
        <f>F261</f>
        <v>1000</v>
      </c>
      <c r="G260" s="16"/>
      <c r="H260" s="13"/>
    </row>
    <row r="261" spans="1:8" ht="31.5" customHeight="1" x14ac:dyDescent="0.2">
      <c r="A261" s="14" t="s">
        <v>43</v>
      </c>
      <c r="B261" s="7" t="s">
        <v>54</v>
      </c>
      <c r="C261" s="7" t="s">
        <v>199</v>
      </c>
      <c r="D261" s="8" t="s">
        <v>214</v>
      </c>
      <c r="E261" s="7">
        <v>240</v>
      </c>
      <c r="F261" s="294">
        <v>1000</v>
      </c>
      <c r="G261" s="242"/>
      <c r="H261" s="13"/>
    </row>
    <row r="262" spans="1:8" ht="15.75" customHeight="1" x14ac:dyDescent="0.2">
      <c r="A262" s="20" t="s">
        <v>215</v>
      </c>
      <c r="B262" s="21" t="s">
        <v>54</v>
      </c>
      <c r="C262" s="21" t="s">
        <v>216</v>
      </c>
      <c r="D262" s="22" t="s">
        <v>13</v>
      </c>
      <c r="E262" s="21" t="s">
        <v>13</v>
      </c>
      <c r="F262" s="298">
        <f>F264</f>
        <v>40000</v>
      </c>
      <c r="G262" s="12"/>
      <c r="H262" s="13"/>
    </row>
    <row r="263" spans="1:8" ht="78.75" customHeight="1" x14ac:dyDescent="0.2">
      <c r="A263" s="20" t="s">
        <v>150</v>
      </c>
      <c r="B263" s="45" t="s">
        <v>54</v>
      </c>
      <c r="C263" s="45" t="s">
        <v>216</v>
      </c>
      <c r="D263" s="22" t="s">
        <v>151</v>
      </c>
      <c r="E263" s="45"/>
      <c r="F263" s="298">
        <f>F264</f>
        <v>40000</v>
      </c>
      <c r="G263" s="12"/>
      <c r="H263" s="13"/>
    </row>
    <row r="264" spans="1:8" ht="31.5" customHeight="1" x14ac:dyDescent="0.2">
      <c r="A264" s="20" t="s">
        <v>217</v>
      </c>
      <c r="B264" s="21" t="s">
        <v>54</v>
      </c>
      <c r="C264" s="21" t="s">
        <v>216</v>
      </c>
      <c r="D264" s="22" t="s">
        <v>218</v>
      </c>
      <c r="E264" s="21"/>
      <c r="F264" s="294">
        <f>F265+F268</f>
        <v>40000</v>
      </c>
      <c r="G264" s="12"/>
      <c r="H264" s="13"/>
    </row>
    <row r="265" spans="1:8" ht="15.75" customHeight="1" x14ac:dyDescent="0.2">
      <c r="A265" s="115" t="s">
        <v>1009</v>
      </c>
      <c r="B265" s="21" t="s">
        <v>54</v>
      </c>
      <c r="C265" s="21" t="s">
        <v>216</v>
      </c>
      <c r="D265" s="22" t="s">
        <v>1008</v>
      </c>
      <c r="E265" s="21"/>
      <c r="F265" s="294">
        <f>F266</f>
        <v>15000</v>
      </c>
      <c r="G265" s="12"/>
      <c r="H265" s="13"/>
    </row>
    <row r="266" spans="1:8" ht="31.5" customHeight="1" x14ac:dyDescent="0.2">
      <c r="A266" s="24" t="s">
        <v>234</v>
      </c>
      <c r="B266" s="21" t="s">
        <v>54</v>
      </c>
      <c r="C266" s="21" t="s">
        <v>216</v>
      </c>
      <c r="D266" s="302" t="s">
        <v>1007</v>
      </c>
      <c r="E266" s="45"/>
      <c r="F266" s="298">
        <f>F267</f>
        <v>15000</v>
      </c>
      <c r="G266" s="12"/>
      <c r="H266" s="13"/>
    </row>
    <row r="267" spans="1:8" ht="31.5" customHeight="1" x14ac:dyDescent="0.2">
      <c r="A267" s="20" t="s">
        <v>221</v>
      </c>
      <c r="B267" s="21" t="s">
        <v>54</v>
      </c>
      <c r="C267" s="21" t="s">
        <v>216</v>
      </c>
      <c r="D267" s="302" t="s">
        <v>1007</v>
      </c>
      <c r="E267" s="45">
        <v>414</v>
      </c>
      <c r="F267" s="298">
        <f>10000+5000</f>
        <v>15000</v>
      </c>
      <c r="G267" s="23"/>
      <c r="H267" s="13"/>
    </row>
    <row r="268" spans="1:8" ht="31.5" customHeight="1" x14ac:dyDescent="0.2">
      <c r="A268" s="97" t="s">
        <v>219</v>
      </c>
      <c r="B268" s="95" t="s">
        <v>54</v>
      </c>
      <c r="C268" s="95" t="s">
        <v>216</v>
      </c>
      <c r="D268" s="8" t="s">
        <v>220</v>
      </c>
      <c r="E268" s="21"/>
      <c r="F268" s="298">
        <f>F269+F271</f>
        <v>25000</v>
      </c>
      <c r="G268" s="23"/>
      <c r="H268" s="13"/>
    </row>
    <row r="269" spans="1:8" ht="31.5" customHeight="1" x14ac:dyDescent="0.2">
      <c r="A269" s="20" t="s">
        <v>1034</v>
      </c>
      <c r="B269" s="45" t="s">
        <v>54</v>
      </c>
      <c r="C269" s="45" t="s">
        <v>216</v>
      </c>
      <c r="D269" s="302" t="s">
        <v>1035</v>
      </c>
      <c r="E269" s="45"/>
      <c r="F269" s="298">
        <f>F270</f>
        <v>20000</v>
      </c>
      <c r="G269" s="23"/>
      <c r="H269" s="13"/>
    </row>
    <row r="270" spans="1:8" ht="31.5" customHeight="1" x14ac:dyDescent="0.2">
      <c r="A270" s="24" t="s">
        <v>43</v>
      </c>
      <c r="B270" s="21" t="s">
        <v>54</v>
      </c>
      <c r="C270" s="21" t="s">
        <v>216</v>
      </c>
      <c r="D270" s="302" t="s">
        <v>1035</v>
      </c>
      <c r="E270" s="21">
        <v>240</v>
      </c>
      <c r="F270" s="298">
        <v>20000</v>
      </c>
      <c r="G270" s="23"/>
      <c r="H270" s="13"/>
    </row>
    <row r="271" spans="1:8" ht="31.5" customHeight="1" x14ac:dyDescent="0.2">
      <c r="A271" s="115" t="s">
        <v>222</v>
      </c>
      <c r="B271" s="95" t="s">
        <v>54</v>
      </c>
      <c r="C271" s="95" t="s">
        <v>216</v>
      </c>
      <c r="D271" s="135" t="s">
        <v>223</v>
      </c>
      <c r="E271" s="287"/>
      <c r="F271" s="298">
        <f>F272</f>
        <v>5000</v>
      </c>
      <c r="G271" s="23"/>
      <c r="H271" s="13"/>
    </row>
    <row r="272" spans="1:8" ht="31.5" customHeight="1" x14ac:dyDescent="0.2">
      <c r="A272" s="14" t="s">
        <v>43</v>
      </c>
      <c r="B272" s="95" t="s">
        <v>54</v>
      </c>
      <c r="C272" s="95" t="s">
        <v>216</v>
      </c>
      <c r="D272" s="135" t="s">
        <v>223</v>
      </c>
      <c r="E272" s="95">
        <v>240</v>
      </c>
      <c r="F272" s="298">
        <v>5000</v>
      </c>
      <c r="G272" s="23"/>
      <c r="H272" s="13"/>
    </row>
    <row r="273" spans="1:8" ht="15.75" customHeight="1" x14ac:dyDescent="0.2">
      <c r="A273" s="14" t="s">
        <v>224</v>
      </c>
      <c r="B273" s="7" t="s">
        <v>54</v>
      </c>
      <c r="C273" s="7" t="s">
        <v>225</v>
      </c>
      <c r="D273" s="135"/>
      <c r="E273" s="303"/>
      <c r="F273" s="298">
        <f>F274</f>
        <v>20784.099999999999</v>
      </c>
      <c r="G273" s="12"/>
      <c r="H273" s="13"/>
    </row>
    <row r="274" spans="1:8" ht="47.25" customHeight="1" x14ac:dyDescent="0.2">
      <c r="A274" s="97" t="s">
        <v>172</v>
      </c>
      <c r="B274" s="7" t="s">
        <v>54</v>
      </c>
      <c r="C274" s="95" t="s">
        <v>225</v>
      </c>
      <c r="D274" s="8" t="s">
        <v>173</v>
      </c>
      <c r="E274" s="95"/>
      <c r="F274" s="294">
        <f>F275</f>
        <v>20784.099999999999</v>
      </c>
      <c r="G274" s="12"/>
      <c r="H274" s="13"/>
    </row>
    <row r="275" spans="1:8" ht="47.25" customHeight="1" x14ac:dyDescent="0.2">
      <c r="A275" s="97" t="s">
        <v>174</v>
      </c>
      <c r="B275" s="7" t="s">
        <v>54</v>
      </c>
      <c r="C275" s="95" t="s">
        <v>225</v>
      </c>
      <c r="D275" s="8" t="s">
        <v>175</v>
      </c>
      <c r="E275" s="95"/>
      <c r="F275" s="294">
        <f>F276</f>
        <v>20784.099999999999</v>
      </c>
      <c r="G275" s="12"/>
      <c r="H275" s="13"/>
    </row>
    <row r="276" spans="1:8" ht="15.75" customHeight="1" x14ac:dyDescent="0.2">
      <c r="A276" s="97" t="s">
        <v>813</v>
      </c>
      <c r="B276" s="7" t="s">
        <v>54</v>
      </c>
      <c r="C276" s="95" t="s">
        <v>225</v>
      </c>
      <c r="D276" s="8" t="s">
        <v>814</v>
      </c>
      <c r="E276" s="95"/>
      <c r="F276" s="294">
        <f>F283+F287+F285+F277+F281</f>
        <v>20784.099999999999</v>
      </c>
      <c r="G276" s="12"/>
      <c r="H276" s="13"/>
    </row>
    <row r="277" spans="1:8" ht="15.75" customHeight="1" x14ac:dyDescent="0.2">
      <c r="A277" s="97" t="s">
        <v>40</v>
      </c>
      <c r="B277" s="7" t="s">
        <v>54</v>
      </c>
      <c r="C277" s="95" t="s">
        <v>225</v>
      </c>
      <c r="D277" s="96" t="s">
        <v>1082</v>
      </c>
      <c r="E277" s="95"/>
      <c r="F277" s="294">
        <f>F278+F279+F280</f>
        <v>20700.099999999999</v>
      </c>
      <c r="G277" s="344"/>
      <c r="H277" s="349"/>
    </row>
    <row r="278" spans="1:8" ht="15.75" customHeight="1" x14ac:dyDescent="0.2">
      <c r="A278" s="97" t="s">
        <v>42</v>
      </c>
      <c r="B278" s="7" t="s">
        <v>54</v>
      </c>
      <c r="C278" s="95" t="s">
        <v>225</v>
      </c>
      <c r="D278" s="96" t="s">
        <v>1082</v>
      </c>
      <c r="E278" s="95">
        <v>110</v>
      </c>
      <c r="F278" s="294">
        <f>18652.5+685</f>
        <v>19337.5</v>
      </c>
      <c r="G278" s="347"/>
      <c r="H278" s="349"/>
    </row>
    <row r="279" spans="1:8" ht="15.75" customHeight="1" x14ac:dyDescent="0.2">
      <c r="A279" s="97" t="s">
        <v>43</v>
      </c>
      <c r="B279" s="7" t="s">
        <v>54</v>
      </c>
      <c r="C279" s="95" t="s">
        <v>225</v>
      </c>
      <c r="D279" s="96" t="s">
        <v>1082</v>
      </c>
      <c r="E279" s="95">
        <v>240</v>
      </c>
      <c r="F279" s="294">
        <v>1350.6</v>
      </c>
      <c r="G279" s="347"/>
      <c r="H279" s="349"/>
    </row>
    <row r="280" spans="1:8" ht="15.75" customHeight="1" x14ac:dyDescent="0.2">
      <c r="A280" s="97" t="s">
        <v>44</v>
      </c>
      <c r="B280" s="7" t="s">
        <v>54</v>
      </c>
      <c r="C280" s="95" t="s">
        <v>225</v>
      </c>
      <c r="D280" s="96" t="s">
        <v>1082</v>
      </c>
      <c r="E280" s="95">
        <v>850</v>
      </c>
      <c r="F280" s="294">
        <v>12</v>
      </c>
      <c r="G280" s="347"/>
      <c r="H280" s="349"/>
    </row>
    <row r="281" spans="1:8" ht="15.75" customHeight="1" x14ac:dyDescent="0.2">
      <c r="A281" s="14" t="s">
        <v>907</v>
      </c>
      <c r="B281" s="7" t="s">
        <v>54</v>
      </c>
      <c r="C281" s="95" t="s">
        <v>225</v>
      </c>
      <c r="D281" s="96" t="s">
        <v>1083</v>
      </c>
      <c r="E281" s="95"/>
      <c r="F281" s="294">
        <f>F282</f>
        <v>84</v>
      </c>
      <c r="G281" s="347"/>
      <c r="H281" s="349"/>
    </row>
    <row r="282" spans="1:8" ht="15.75" customHeight="1" x14ac:dyDescent="0.2">
      <c r="A282" s="14" t="s">
        <v>42</v>
      </c>
      <c r="B282" s="7" t="s">
        <v>54</v>
      </c>
      <c r="C282" s="95" t="s">
        <v>225</v>
      </c>
      <c r="D282" s="96" t="s">
        <v>1083</v>
      </c>
      <c r="E282" s="95">
        <v>110</v>
      </c>
      <c r="F282" s="294">
        <v>84</v>
      </c>
      <c r="G282" s="348"/>
      <c r="H282" s="349"/>
    </row>
    <row r="283" spans="1:8" ht="31.5" customHeight="1" x14ac:dyDescent="0.2">
      <c r="A283" s="105" t="s">
        <v>843</v>
      </c>
      <c r="B283" s="7" t="s">
        <v>54</v>
      </c>
      <c r="C283" s="95" t="s">
        <v>225</v>
      </c>
      <c r="D283" s="8" t="s">
        <v>942</v>
      </c>
      <c r="E283" s="95"/>
      <c r="F283" s="294">
        <f>F284</f>
        <v>0</v>
      </c>
      <c r="G283" s="121"/>
      <c r="H283" s="13"/>
    </row>
    <row r="284" spans="1:8" ht="31.5" customHeight="1" x14ac:dyDescent="0.2">
      <c r="A284" s="14" t="s">
        <v>43</v>
      </c>
      <c r="B284" s="7" t="s">
        <v>54</v>
      </c>
      <c r="C284" s="95" t="s">
        <v>225</v>
      </c>
      <c r="D284" s="8" t="s">
        <v>942</v>
      </c>
      <c r="E284" s="95">
        <v>240</v>
      </c>
      <c r="F284" s="294">
        <f>27484.3-27484.3</f>
        <v>0</v>
      </c>
      <c r="G284" s="152"/>
      <c r="H284" s="13"/>
    </row>
    <row r="285" spans="1:8" ht="47.25" customHeight="1" x14ac:dyDescent="0.2">
      <c r="A285" s="105" t="s">
        <v>850</v>
      </c>
      <c r="B285" s="7">
        <v>902</v>
      </c>
      <c r="C285" s="96" t="s">
        <v>225</v>
      </c>
      <c r="D285" s="8" t="s">
        <v>963</v>
      </c>
      <c r="E285" s="95"/>
      <c r="F285" s="294">
        <f>F286</f>
        <v>0</v>
      </c>
      <c r="G285" s="121"/>
      <c r="H285" s="13"/>
    </row>
    <row r="286" spans="1:8" ht="31.5" customHeight="1" x14ac:dyDescent="0.2">
      <c r="A286" s="14" t="s">
        <v>43</v>
      </c>
      <c r="B286" s="7">
        <v>902</v>
      </c>
      <c r="C286" s="95" t="s">
        <v>225</v>
      </c>
      <c r="D286" s="8" t="s">
        <v>963</v>
      </c>
      <c r="E286" s="95">
        <v>240</v>
      </c>
      <c r="F286" s="294">
        <f>277.6-277.6</f>
        <v>0</v>
      </c>
      <c r="G286" s="152"/>
      <c r="H286" s="13"/>
    </row>
    <row r="287" spans="1:8" ht="48" customHeight="1" x14ac:dyDescent="0.2">
      <c r="A287" s="313" t="s">
        <v>768</v>
      </c>
      <c r="B287" s="7" t="s">
        <v>54</v>
      </c>
      <c r="C287" s="95" t="s">
        <v>225</v>
      </c>
      <c r="D287" s="8" t="s">
        <v>871</v>
      </c>
      <c r="E287" s="95"/>
      <c r="F287" s="294">
        <f>F288</f>
        <v>0</v>
      </c>
      <c r="G287" s="121"/>
      <c r="H287" s="13"/>
    </row>
    <row r="288" spans="1:8" ht="38.25" customHeight="1" x14ac:dyDescent="0.2">
      <c r="A288" s="14" t="s">
        <v>206</v>
      </c>
      <c r="B288" s="7" t="s">
        <v>54</v>
      </c>
      <c r="C288" s="95" t="s">
        <v>225</v>
      </c>
      <c r="D288" s="8" t="s">
        <v>871</v>
      </c>
      <c r="E288" s="95">
        <v>810</v>
      </c>
      <c r="F288" s="294">
        <f>45000+55000-100000</f>
        <v>0</v>
      </c>
      <c r="G288" s="152"/>
      <c r="H288" s="13"/>
    </row>
    <row r="289" spans="1:9" ht="15.75" customHeight="1" x14ac:dyDescent="0.2">
      <c r="A289" s="20" t="s">
        <v>226</v>
      </c>
      <c r="B289" s="21" t="s">
        <v>54</v>
      </c>
      <c r="C289" s="21" t="s">
        <v>227</v>
      </c>
      <c r="D289" s="22" t="s">
        <v>13</v>
      </c>
      <c r="E289" s="21" t="s">
        <v>13</v>
      </c>
      <c r="F289" s="294">
        <f>F290+F305+F313+F318</f>
        <v>1846220.6</v>
      </c>
      <c r="G289" s="23"/>
      <c r="H289" s="13"/>
    </row>
    <row r="290" spans="1:9" ht="47.25" customHeight="1" x14ac:dyDescent="0.2">
      <c r="A290" s="20" t="s">
        <v>172</v>
      </c>
      <c r="B290" s="21" t="s">
        <v>54</v>
      </c>
      <c r="C290" s="21" t="s">
        <v>227</v>
      </c>
      <c r="D290" s="22" t="s">
        <v>173</v>
      </c>
      <c r="E290" s="21" t="s">
        <v>13</v>
      </c>
      <c r="F290" s="294">
        <f>F291</f>
        <v>940852.8</v>
      </c>
      <c r="G290" s="263"/>
      <c r="H290" s="13"/>
    </row>
    <row r="291" spans="1:9" ht="47.25" customHeight="1" x14ac:dyDescent="0.2">
      <c r="A291" s="20" t="s">
        <v>228</v>
      </c>
      <c r="B291" s="21" t="s">
        <v>54</v>
      </c>
      <c r="C291" s="21" t="s">
        <v>227</v>
      </c>
      <c r="D291" s="22" t="s">
        <v>229</v>
      </c>
      <c r="E291" s="21" t="s">
        <v>13</v>
      </c>
      <c r="F291" s="294">
        <f>F292</f>
        <v>940852.8</v>
      </c>
      <c r="G291" s="263"/>
      <c r="H291" s="13"/>
    </row>
    <row r="292" spans="1:9" ht="15.75" customHeight="1" x14ac:dyDescent="0.2">
      <c r="A292" s="20" t="s">
        <v>230</v>
      </c>
      <c r="B292" s="21" t="s">
        <v>54</v>
      </c>
      <c r="C292" s="21" t="s">
        <v>227</v>
      </c>
      <c r="D292" s="22" t="s">
        <v>231</v>
      </c>
      <c r="E292" s="21" t="s">
        <v>13</v>
      </c>
      <c r="F292" s="294">
        <f>F293+F295+F301+F303+F297+F299</f>
        <v>940852.8</v>
      </c>
      <c r="G292" s="263"/>
      <c r="H292" s="13"/>
    </row>
    <row r="293" spans="1:9" ht="90.75" customHeight="1" x14ac:dyDescent="0.2">
      <c r="A293" s="49" t="s">
        <v>232</v>
      </c>
      <c r="B293" s="21" t="s">
        <v>54</v>
      </c>
      <c r="C293" s="21" t="s">
        <v>227</v>
      </c>
      <c r="D293" s="22" t="s">
        <v>233</v>
      </c>
      <c r="E293" s="21"/>
      <c r="F293" s="294">
        <f>F294</f>
        <v>52631.8</v>
      </c>
      <c r="G293" s="263"/>
      <c r="H293" s="13"/>
    </row>
    <row r="294" spans="1:9" ht="31.5" customHeight="1" x14ac:dyDescent="0.2">
      <c r="A294" s="175" t="s">
        <v>43</v>
      </c>
      <c r="B294" s="21" t="s">
        <v>54</v>
      </c>
      <c r="C294" s="21" t="s">
        <v>227</v>
      </c>
      <c r="D294" s="22" t="s">
        <v>233</v>
      </c>
      <c r="E294" s="21">
        <v>240</v>
      </c>
      <c r="F294" s="294">
        <f>54934-2302.2</f>
        <v>52631.8</v>
      </c>
      <c r="G294" s="263"/>
      <c r="H294" s="50"/>
      <c r="I294" s="50"/>
    </row>
    <row r="295" spans="1:9" ht="15.75" customHeight="1" x14ac:dyDescent="0.2">
      <c r="A295" s="49" t="s">
        <v>234</v>
      </c>
      <c r="B295" s="21" t="s">
        <v>54</v>
      </c>
      <c r="C295" s="21" t="s">
        <v>227</v>
      </c>
      <c r="D295" s="22" t="s">
        <v>235</v>
      </c>
      <c r="E295" s="21"/>
      <c r="F295" s="294">
        <f>F296</f>
        <v>403977.20000000007</v>
      </c>
      <c r="G295" s="263"/>
      <c r="H295" s="13"/>
    </row>
    <row r="296" spans="1:9" ht="31.5" customHeight="1" x14ac:dyDescent="0.2">
      <c r="A296" s="20" t="s">
        <v>221</v>
      </c>
      <c r="B296" s="21" t="s">
        <v>54</v>
      </c>
      <c r="C296" s="21" t="s">
        <v>227</v>
      </c>
      <c r="D296" s="22" t="s">
        <v>235</v>
      </c>
      <c r="E296" s="21" t="s">
        <v>236</v>
      </c>
      <c r="F296" s="294">
        <f>590259+64266.8-5265.6-261400+16117</f>
        <v>403977.20000000007</v>
      </c>
      <c r="G296" s="23"/>
      <c r="H296" s="13"/>
    </row>
    <row r="297" spans="1:9" ht="31.5" customHeight="1" x14ac:dyDescent="0.2">
      <c r="A297" s="20" t="s">
        <v>843</v>
      </c>
      <c r="B297" s="21" t="s">
        <v>54</v>
      </c>
      <c r="C297" s="21" t="s">
        <v>227</v>
      </c>
      <c r="D297" s="22" t="s">
        <v>1088</v>
      </c>
      <c r="E297" s="21"/>
      <c r="F297" s="294">
        <f>F298</f>
        <v>227918.2</v>
      </c>
      <c r="G297" s="23"/>
      <c r="H297" s="13"/>
    </row>
    <row r="298" spans="1:9" ht="31.5" customHeight="1" x14ac:dyDescent="0.2">
      <c r="A298" s="20" t="s">
        <v>43</v>
      </c>
      <c r="B298" s="21" t="s">
        <v>54</v>
      </c>
      <c r="C298" s="21" t="s">
        <v>227</v>
      </c>
      <c r="D298" s="22" t="s">
        <v>1088</v>
      </c>
      <c r="E298" s="21">
        <v>240</v>
      </c>
      <c r="F298" s="294">
        <v>227918.2</v>
      </c>
      <c r="G298" s="123"/>
      <c r="H298" s="13"/>
    </row>
    <row r="299" spans="1:9" ht="31.5" customHeight="1" x14ac:dyDescent="0.2">
      <c r="A299" s="20" t="s">
        <v>850</v>
      </c>
      <c r="B299" s="21" t="s">
        <v>54</v>
      </c>
      <c r="C299" s="21" t="s">
        <v>227</v>
      </c>
      <c r="D299" s="22" t="s">
        <v>1089</v>
      </c>
      <c r="E299" s="21"/>
      <c r="F299" s="294">
        <f>F300</f>
        <v>2302.1999999999998</v>
      </c>
      <c r="G299" s="123"/>
      <c r="H299" s="13"/>
    </row>
    <row r="300" spans="1:9" ht="31.5" customHeight="1" x14ac:dyDescent="0.2">
      <c r="A300" s="20" t="s">
        <v>43</v>
      </c>
      <c r="B300" s="21" t="s">
        <v>54</v>
      </c>
      <c r="C300" s="21" t="s">
        <v>227</v>
      </c>
      <c r="D300" s="22" t="s">
        <v>1089</v>
      </c>
      <c r="E300" s="21">
        <v>240</v>
      </c>
      <c r="F300" s="294">
        <v>2302.1999999999998</v>
      </c>
      <c r="G300" s="123"/>
      <c r="H300" s="13"/>
    </row>
    <row r="301" spans="1:9" ht="31.5" customHeight="1" x14ac:dyDescent="0.2">
      <c r="A301" s="317" t="s">
        <v>1042</v>
      </c>
      <c r="B301" s="21" t="s">
        <v>54</v>
      </c>
      <c r="C301" s="21" t="s">
        <v>227</v>
      </c>
      <c r="D301" s="8" t="s">
        <v>1040</v>
      </c>
      <c r="E301" s="95"/>
      <c r="F301" s="208">
        <f>F302</f>
        <v>177816.4</v>
      </c>
      <c r="G301" s="23"/>
      <c r="H301" s="13"/>
    </row>
    <row r="302" spans="1:9" ht="31.5" customHeight="1" x14ac:dyDescent="0.2">
      <c r="A302" s="97" t="s">
        <v>221</v>
      </c>
      <c r="B302" s="21" t="s">
        <v>54</v>
      </c>
      <c r="C302" s="21" t="s">
        <v>227</v>
      </c>
      <c r="D302" s="8" t="s">
        <v>1040</v>
      </c>
      <c r="E302" s="95" t="s">
        <v>236</v>
      </c>
      <c r="F302" s="208">
        <v>177816.4</v>
      </c>
      <c r="G302" s="23"/>
      <c r="H302" s="13"/>
    </row>
    <row r="303" spans="1:9" ht="31.5" customHeight="1" x14ac:dyDescent="0.2">
      <c r="A303" s="97" t="s">
        <v>1043</v>
      </c>
      <c r="B303" s="21" t="s">
        <v>54</v>
      </c>
      <c r="C303" s="21" t="s">
        <v>227</v>
      </c>
      <c r="D303" s="8" t="s">
        <v>1041</v>
      </c>
      <c r="E303" s="95"/>
      <c r="F303" s="208">
        <f>F304</f>
        <v>76207</v>
      </c>
      <c r="G303" s="23"/>
      <c r="H303" s="13"/>
    </row>
    <row r="304" spans="1:9" ht="31.5" customHeight="1" x14ac:dyDescent="0.2">
      <c r="A304" s="97" t="s">
        <v>221</v>
      </c>
      <c r="B304" s="21" t="s">
        <v>54</v>
      </c>
      <c r="C304" s="21" t="s">
        <v>227</v>
      </c>
      <c r="D304" s="8" t="s">
        <v>1041</v>
      </c>
      <c r="E304" s="95" t="s">
        <v>236</v>
      </c>
      <c r="F304" s="208">
        <v>76207</v>
      </c>
      <c r="G304" s="23"/>
      <c r="H304" s="13"/>
    </row>
    <row r="305" spans="1:8" ht="47.25" customHeight="1" x14ac:dyDescent="0.2">
      <c r="A305" s="14" t="s">
        <v>237</v>
      </c>
      <c r="B305" s="21" t="s">
        <v>54</v>
      </c>
      <c r="C305" s="21" t="s">
        <v>227</v>
      </c>
      <c r="D305" s="22" t="s">
        <v>238</v>
      </c>
      <c r="E305" s="21"/>
      <c r="F305" s="294">
        <f>F306</f>
        <v>206234.3</v>
      </c>
      <c r="G305" s="46"/>
      <c r="H305" s="13"/>
    </row>
    <row r="306" spans="1:8" ht="15.75" customHeight="1" x14ac:dyDescent="0.2">
      <c r="A306" s="14" t="s">
        <v>239</v>
      </c>
      <c r="B306" s="21" t="s">
        <v>54</v>
      </c>
      <c r="C306" s="21" t="s">
        <v>227</v>
      </c>
      <c r="D306" s="22" t="s">
        <v>240</v>
      </c>
      <c r="E306" s="21"/>
      <c r="F306" s="294">
        <f>F309+F311+F307</f>
        <v>206234.3</v>
      </c>
      <c r="G306" s="46"/>
      <c r="H306" s="13"/>
    </row>
    <row r="307" spans="1:8" ht="15.75" customHeight="1" x14ac:dyDescent="0.2">
      <c r="A307" s="14" t="s">
        <v>82</v>
      </c>
      <c r="B307" s="21" t="s">
        <v>54</v>
      </c>
      <c r="C307" s="21" t="s">
        <v>227</v>
      </c>
      <c r="D307" s="22" t="s">
        <v>241</v>
      </c>
      <c r="E307" s="21"/>
      <c r="F307" s="294">
        <f>F308</f>
        <v>206234.3</v>
      </c>
      <c r="G307" s="46"/>
      <c r="H307" s="13"/>
    </row>
    <row r="308" spans="1:8" ht="15.75" customHeight="1" x14ac:dyDescent="0.2">
      <c r="A308" s="14" t="s">
        <v>43</v>
      </c>
      <c r="B308" s="21" t="s">
        <v>54</v>
      </c>
      <c r="C308" s="21" t="s">
        <v>227</v>
      </c>
      <c r="D308" s="22" t="s">
        <v>241</v>
      </c>
      <c r="E308" s="21">
        <v>240</v>
      </c>
      <c r="F308" s="294">
        <f>96234.3+110000</f>
        <v>206234.3</v>
      </c>
      <c r="G308" s="46"/>
      <c r="H308" s="13"/>
    </row>
    <row r="309" spans="1:8" ht="15.75" customHeight="1" x14ac:dyDescent="0.2">
      <c r="A309" s="14" t="s">
        <v>843</v>
      </c>
      <c r="B309" s="21" t="s">
        <v>54</v>
      </c>
      <c r="C309" s="21" t="s">
        <v>227</v>
      </c>
      <c r="D309" s="22" t="s">
        <v>1048</v>
      </c>
      <c r="E309" s="21"/>
      <c r="F309" s="294">
        <f>F310</f>
        <v>0</v>
      </c>
      <c r="G309" s="46"/>
      <c r="H309" s="13"/>
    </row>
    <row r="310" spans="1:8" ht="15.75" customHeight="1" x14ac:dyDescent="0.2">
      <c r="A310" s="14" t="s">
        <v>43</v>
      </c>
      <c r="B310" s="21" t="s">
        <v>54</v>
      </c>
      <c r="C310" s="21" t="s">
        <v>227</v>
      </c>
      <c r="D310" s="22" t="s">
        <v>1048</v>
      </c>
      <c r="E310" s="21">
        <v>240</v>
      </c>
      <c r="F310" s="294">
        <f>227918.2-227918.2</f>
        <v>0</v>
      </c>
      <c r="G310" s="359"/>
      <c r="H310" s="13"/>
    </row>
    <row r="311" spans="1:8" ht="31.5" customHeight="1" x14ac:dyDescent="0.2">
      <c r="A311" s="14" t="s">
        <v>850</v>
      </c>
      <c r="B311" s="21" t="s">
        <v>54</v>
      </c>
      <c r="C311" s="21" t="s">
        <v>227</v>
      </c>
      <c r="D311" s="22" t="s">
        <v>851</v>
      </c>
      <c r="E311" s="21"/>
      <c r="F311" s="294">
        <f>F312</f>
        <v>0</v>
      </c>
      <c r="G311" s="263"/>
      <c r="H311" s="13"/>
    </row>
    <row r="312" spans="1:8" ht="31.5" customHeight="1" x14ac:dyDescent="0.2">
      <c r="A312" s="14" t="s">
        <v>43</v>
      </c>
      <c r="B312" s="21" t="s">
        <v>54</v>
      </c>
      <c r="C312" s="21" t="s">
        <v>227</v>
      </c>
      <c r="D312" s="22" t="s">
        <v>851</v>
      </c>
      <c r="E312" s="21">
        <v>240</v>
      </c>
      <c r="F312" s="294">
        <f>326400+2302.2+5265.6-333967.8</f>
        <v>0</v>
      </c>
      <c r="G312" s="263"/>
      <c r="H312" s="13"/>
    </row>
    <row r="313" spans="1:8" ht="48" customHeight="1" x14ac:dyDescent="0.2">
      <c r="A313" s="14" t="s">
        <v>242</v>
      </c>
      <c r="B313" s="21" t="s">
        <v>54</v>
      </c>
      <c r="C313" s="21" t="s">
        <v>227</v>
      </c>
      <c r="D313" s="22" t="s">
        <v>243</v>
      </c>
      <c r="E313" s="21"/>
      <c r="F313" s="294">
        <f>F314</f>
        <v>261400</v>
      </c>
      <c r="G313" s="263"/>
      <c r="H313" s="13"/>
    </row>
    <row r="314" spans="1:8" ht="31.5" customHeight="1" x14ac:dyDescent="0.2">
      <c r="A314" s="14" t="s">
        <v>244</v>
      </c>
      <c r="B314" s="21" t="s">
        <v>54</v>
      </c>
      <c r="C314" s="21" t="s">
        <v>227</v>
      </c>
      <c r="D314" s="22" t="s">
        <v>245</v>
      </c>
      <c r="E314" s="21"/>
      <c r="F314" s="294">
        <f>F315</f>
        <v>261400</v>
      </c>
      <c r="G314" s="263"/>
      <c r="H314" s="13"/>
    </row>
    <row r="315" spans="1:8" ht="69" customHeight="1" x14ac:dyDescent="0.2">
      <c r="A315" s="14" t="s">
        <v>248</v>
      </c>
      <c r="B315" s="21" t="s">
        <v>54</v>
      </c>
      <c r="C315" s="21" t="s">
        <v>227</v>
      </c>
      <c r="D315" s="22" t="s">
        <v>249</v>
      </c>
      <c r="E315" s="21"/>
      <c r="F315" s="294">
        <f>F316</f>
        <v>261400</v>
      </c>
      <c r="G315" s="263"/>
      <c r="H315" s="13"/>
    </row>
    <row r="316" spans="1:8" ht="47.25" x14ac:dyDescent="0.2">
      <c r="A316" s="14" t="s">
        <v>246</v>
      </c>
      <c r="B316" s="21" t="s">
        <v>54</v>
      </c>
      <c r="C316" s="21" t="s">
        <v>227</v>
      </c>
      <c r="D316" s="22" t="s">
        <v>842</v>
      </c>
      <c r="E316" s="21"/>
      <c r="F316" s="294">
        <f>F317</f>
        <v>261400</v>
      </c>
      <c r="G316" s="263"/>
      <c r="H316" s="13"/>
    </row>
    <row r="317" spans="1:8" ht="31.5" customHeight="1" x14ac:dyDescent="0.2">
      <c r="A317" s="14" t="s">
        <v>221</v>
      </c>
      <c r="B317" s="21" t="s">
        <v>54</v>
      </c>
      <c r="C317" s="21" t="s">
        <v>227</v>
      </c>
      <c r="D317" s="22" t="s">
        <v>842</v>
      </c>
      <c r="E317" s="21">
        <v>414</v>
      </c>
      <c r="F317" s="294">
        <v>261400</v>
      </c>
      <c r="G317" s="263"/>
      <c r="H317" s="13"/>
    </row>
    <row r="318" spans="1:8" ht="31.5" customHeight="1" x14ac:dyDescent="0.2">
      <c r="A318" s="14" t="s">
        <v>1096</v>
      </c>
      <c r="B318" s="21" t="s">
        <v>54</v>
      </c>
      <c r="C318" s="21" t="s">
        <v>227</v>
      </c>
      <c r="D318" s="22" t="s">
        <v>1097</v>
      </c>
      <c r="E318" s="21"/>
      <c r="F318" s="294">
        <f>F319+F322</f>
        <v>437733.5</v>
      </c>
      <c r="G318" s="263"/>
      <c r="H318" s="13"/>
    </row>
    <row r="319" spans="1:8" ht="31.5" customHeight="1" x14ac:dyDescent="0.2">
      <c r="A319" s="14" t="s">
        <v>947</v>
      </c>
      <c r="B319" s="21" t="s">
        <v>54</v>
      </c>
      <c r="C319" s="21" t="s">
        <v>227</v>
      </c>
      <c r="D319" s="22" t="s">
        <v>1098</v>
      </c>
      <c r="E319" s="21"/>
      <c r="F319" s="294">
        <f>F320</f>
        <v>434733.5</v>
      </c>
      <c r="G319" s="263"/>
      <c r="H319" s="13"/>
    </row>
    <row r="320" spans="1:8" ht="31.5" customHeight="1" x14ac:dyDescent="0.2">
      <c r="A320" s="14" t="s">
        <v>82</v>
      </c>
      <c r="B320" s="21" t="s">
        <v>54</v>
      </c>
      <c r="C320" s="21" t="s">
        <v>227</v>
      </c>
      <c r="D320" s="22" t="s">
        <v>1099</v>
      </c>
      <c r="E320" s="21"/>
      <c r="F320" s="294">
        <f>F321</f>
        <v>434733.5</v>
      </c>
      <c r="G320" s="263"/>
      <c r="H320" s="13"/>
    </row>
    <row r="321" spans="1:8" ht="31.5" customHeight="1" x14ac:dyDescent="0.2">
      <c r="A321" s="14" t="s">
        <v>43</v>
      </c>
      <c r="B321" s="21" t="s">
        <v>54</v>
      </c>
      <c r="C321" s="21" t="s">
        <v>227</v>
      </c>
      <c r="D321" s="22" t="s">
        <v>1099</v>
      </c>
      <c r="E321" s="21">
        <v>240</v>
      </c>
      <c r="F321" s="294">
        <f>234733.5+200000</f>
        <v>434733.5</v>
      </c>
      <c r="G321" s="263"/>
      <c r="H321" s="13"/>
    </row>
    <row r="322" spans="1:8" ht="31.5" customHeight="1" x14ac:dyDescent="0.2">
      <c r="A322" s="14" t="s">
        <v>1100</v>
      </c>
      <c r="B322" s="21">
        <v>902</v>
      </c>
      <c r="C322" s="21" t="s">
        <v>227</v>
      </c>
      <c r="D322" s="22" t="s">
        <v>1101</v>
      </c>
      <c r="E322" s="21"/>
      <c r="F322" s="294">
        <f>F323</f>
        <v>3000</v>
      </c>
      <c r="G322" s="263"/>
      <c r="H322" s="13"/>
    </row>
    <row r="323" spans="1:8" ht="31.5" customHeight="1" x14ac:dyDescent="0.2">
      <c r="A323" s="14" t="s">
        <v>43</v>
      </c>
      <c r="B323" s="21">
        <v>902</v>
      </c>
      <c r="C323" s="21" t="s">
        <v>227</v>
      </c>
      <c r="D323" s="22" t="s">
        <v>1101</v>
      </c>
      <c r="E323" s="21">
        <v>240</v>
      </c>
      <c r="F323" s="294">
        <v>3000</v>
      </c>
      <c r="G323" s="263"/>
      <c r="H323" s="13"/>
    </row>
    <row r="324" spans="1:8" x14ac:dyDescent="0.2">
      <c r="A324" s="20" t="s">
        <v>253</v>
      </c>
      <c r="B324" s="21" t="s">
        <v>54</v>
      </c>
      <c r="C324" s="21" t="s">
        <v>254</v>
      </c>
      <c r="D324" s="22" t="s">
        <v>13</v>
      </c>
      <c r="E324" s="21" t="s">
        <v>13</v>
      </c>
      <c r="F324" s="294">
        <f>F325+F339+F343</f>
        <v>72110.8</v>
      </c>
      <c r="G324" s="263"/>
      <c r="H324" s="13"/>
    </row>
    <row r="325" spans="1:8" ht="47.25" customHeight="1" x14ac:dyDescent="0.2">
      <c r="A325" s="20" t="s">
        <v>255</v>
      </c>
      <c r="B325" s="21" t="s">
        <v>54</v>
      </c>
      <c r="C325" s="21" t="s">
        <v>254</v>
      </c>
      <c r="D325" s="22" t="s">
        <v>256</v>
      </c>
      <c r="E325" s="21" t="s">
        <v>13</v>
      </c>
      <c r="F325" s="294">
        <f>F326+F329+F332+F335</f>
        <v>43791.8</v>
      </c>
      <c r="G325" s="263"/>
      <c r="H325" s="13"/>
    </row>
    <row r="326" spans="1:8" ht="47.25" customHeight="1" x14ac:dyDescent="0.2">
      <c r="A326" s="20" t="s">
        <v>257</v>
      </c>
      <c r="B326" s="21" t="s">
        <v>54</v>
      </c>
      <c r="C326" s="21" t="s">
        <v>254</v>
      </c>
      <c r="D326" s="22" t="s">
        <v>258</v>
      </c>
      <c r="E326" s="21" t="s">
        <v>13</v>
      </c>
      <c r="F326" s="294">
        <f>SUM(F328)</f>
        <v>3971.1</v>
      </c>
      <c r="G326" s="263"/>
      <c r="H326" s="13"/>
    </row>
    <row r="327" spans="1:8" ht="31.5" customHeight="1" x14ac:dyDescent="0.2">
      <c r="A327" s="20" t="s">
        <v>82</v>
      </c>
      <c r="B327" s="21" t="s">
        <v>54</v>
      </c>
      <c r="C327" s="21" t="s">
        <v>254</v>
      </c>
      <c r="D327" s="22" t="s">
        <v>259</v>
      </c>
      <c r="E327" s="21"/>
      <c r="F327" s="294">
        <f>F328</f>
        <v>3971.1</v>
      </c>
      <c r="G327" s="263"/>
      <c r="H327" s="13"/>
    </row>
    <row r="328" spans="1:8" ht="31.5" customHeight="1" x14ac:dyDescent="0.2">
      <c r="A328" s="14" t="s">
        <v>43</v>
      </c>
      <c r="B328" s="21" t="s">
        <v>54</v>
      </c>
      <c r="C328" s="21" t="s">
        <v>254</v>
      </c>
      <c r="D328" s="22" t="s">
        <v>259</v>
      </c>
      <c r="E328" s="21">
        <v>240</v>
      </c>
      <c r="F328" s="294">
        <v>3971.1</v>
      </c>
      <c r="G328" s="152"/>
      <c r="H328" s="13"/>
    </row>
    <row r="329" spans="1:8" ht="31.5" customHeight="1" x14ac:dyDescent="0.2">
      <c r="A329" s="20" t="s">
        <v>260</v>
      </c>
      <c r="B329" s="21" t="s">
        <v>54</v>
      </c>
      <c r="C329" s="21" t="s">
        <v>254</v>
      </c>
      <c r="D329" s="22" t="s">
        <v>261</v>
      </c>
      <c r="E329" s="21" t="s">
        <v>13</v>
      </c>
      <c r="F329" s="294">
        <f>SUM(F331)</f>
        <v>793.6</v>
      </c>
      <c r="G329" s="12"/>
      <c r="H329" s="13"/>
    </row>
    <row r="330" spans="1:8" ht="31.5" customHeight="1" x14ac:dyDescent="0.2">
      <c r="A330" s="20" t="s">
        <v>82</v>
      </c>
      <c r="B330" s="21" t="s">
        <v>54</v>
      </c>
      <c r="C330" s="21" t="s">
        <v>254</v>
      </c>
      <c r="D330" s="22" t="s">
        <v>262</v>
      </c>
      <c r="E330" s="21"/>
      <c r="F330" s="294">
        <f>F331</f>
        <v>793.6</v>
      </c>
      <c r="G330" s="12"/>
      <c r="H330" s="13"/>
    </row>
    <row r="331" spans="1:8" ht="31.5" customHeight="1" x14ac:dyDescent="0.2">
      <c r="A331" s="14" t="s">
        <v>43</v>
      </c>
      <c r="B331" s="21" t="s">
        <v>54</v>
      </c>
      <c r="C331" s="21" t="s">
        <v>254</v>
      </c>
      <c r="D331" s="22" t="s">
        <v>262</v>
      </c>
      <c r="E331" s="21">
        <v>240</v>
      </c>
      <c r="F331" s="294">
        <v>793.6</v>
      </c>
      <c r="G331" s="43"/>
      <c r="H331" s="13"/>
    </row>
    <row r="332" spans="1:8" ht="31.5" customHeight="1" x14ac:dyDescent="0.2">
      <c r="A332" s="20" t="s">
        <v>263</v>
      </c>
      <c r="B332" s="21" t="s">
        <v>54</v>
      </c>
      <c r="C332" s="21" t="s">
        <v>254</v>
      </c>
      <c r="D332" s="22" t="s">
        <v>264</v>
      </c>
      <c r="E332" s="21" t="s">
        <v>13</v>
      </c>
      <c r="F332" s="294">
        <f>SUM(F334)</f>
        <v>2721.1</v>
      </c>
      <c r="G332" s="12"/>
      <c r="H332" s="13"/>
    </row>
    <row r="333" spans="1:8" ht="31.5" customHeight="1" x14ac:dyDescent="0.2">
      <c r="A333" s="20" t="s">
        <v>82</v>
      </c>
      <c r="B333" s="21" t="s">
        <v>54</v>
      </c>
      <c r="C333" s="21" t="s">
        <v>254</v>
      </c>
      <c r="D333" s="22" t="s">
        <v>265</v>
      </c>
      <c r="E333" s="21"/>
      <c r="F333" s="294">
        <f>F334</f>
        <v>2721.1</v>
      </c>
      <c r="G333" s="12"/>
      <c r="H333" s="13"/>
    </row>
    <row r="334" spans="1:8" ht="31.5" customHeight="1" x14ac:dyDescent="0.2">
      <c r="A334" s="14" t="s">
        <v>43</v>
      </c>
      <c r="B334" s="21" t="s">
        <v>54</v>
      </c>
      <c r="C334" s="21" t="s">
        <v>254</v>
      </c>
      <c r="D334" s="22" t="s">
        <v>265</v>
      </c>
      <c r="E334" s="21">
        <v>240</v>
      </c>
      <c r="F334" s="294">
        <v>2721.1</v>
      </c>
      <c r="G334" s="43"/>
      <c r="H334" s="13"/>
    </row>
    <row r="335" spans="1:8" ht="47.25" customHeight="1" x14ac:dyDescent="0.2">
      <c r="A335" s="20" t="s">
        <v>266</v>
      </c>
      <c r="B335" s="21" t="s">
        <v>54</v>
      </c>
      <c r="C335" s="21" t="s">
        <v>254</v>
      </c>
      <c r="D335" s="22" t="s">
        <v>267</v>
      </c>
      <c r="E335" s="21" t="s">
        <v>13</v>
      </c>
      <c r="F335" s="294">
        <f>F336</f>
        <v>36306</v>
      </c>
      <c r="G335" s="12"/>
      <c r="H335" s="13"/>
    </row>
    <row r="336" spans="1:8" ht="31.5" customHeight="1" x14ac:dyDescent="0.2">
      <c r="A336" s="20" t="s">
        <v>82</v>
      </c>
      <c r="B336" s="21" t="s">
        <v>54</v>
      </c>
      <c r="C336" s="21" t="s">
        <v>254</v>
      </c>
      <c r="D336" s="22" t="s">
        <v>268</v>
      </c>
      <c r="E336" s="21"/>
      <c r="F336" s="294">
        <f>F337+F338</f>
        <v>36306</v>
      </c>
      <c r="G336" s="12"/>
      <c r="H336" s="13"/>
    </row>
    <row r="337" spans="1:8" ht="31.5" customHeight="1" x14ac:dyDescent="0.2">
      <c r="A337" s="14" t="s">
        <v>43</v>
      </c>
      <c r="B337" s="21" t="s">
        <v>54</v>
      </c>
      <c r="C337" s="21" t="s">
        <v>254</v>
      </c>
      <c r="D337" s="22" t="s">
        <v>268</v>
      </c>
      <c r="E337" s="21">
        <v>240</v>
      </c>
      <c r="F337" s="294">
        <v>135</v>
      </c>
      <c r="G337" s="43"/>
      <c r="H337" s="13"/>
    </row>
    <row r="338" spans="1:8" ht="15.75" customHeight="1" x14ac:dyDescent="0.2">
      <c r="A338" s="20" t="s">
        <v>269</v>
      </c>
      <c r="B338" s="21" t="s">
        <v>54</v>
      </c>
      <c r="C338" s="21" t="s">
        <v>254</v>
      </c>
      <c r="D338" s="22" t="s">
        <v>268</v>
      </c>
      <c r="E338" s="21">
        <v>360</v>
      </c>
      <c r="F338" s="294">
        <v>36171</v>
      </c>
      <c r="G338" s="152"/>
      <c r="H338" s="13"/>
    </row>
    <row r="339" spans="1:8" ht="31.5" customHeight="1" x14ac:dyDescent="0.2">
      <c r="A339" s="20" t="s">
        <v>83</v>
      </c>
      <c r="B339" s="21" t="s">
        <v>54</v>
      </c>
      <c r="C339" s="21" t="s">
        <v>254</v>
      </c>
      <c r="D339" s="22" t="s">
        <v>84</v>
      </c>
      <c r="E339" s="21" t="s">
        <v>13</v>
      </c>
      <c r="F339" s="294">
        <f>F340</f>
        <v>11450</v>
      </c>
      <c r="G339" s="12"/>
      <c r="H339" s="13"/>
    </row>
    <row r="340" spans="1:8" ht="15.75" customHeight="1" x14ac:dyDescent="0.2">
      <c r="A340" s="20" t="s">
        <v>270</v>
      </c>
      <c r="B340" s="21" t="s">
        <v>54</v>
      </c>
      <c r="C340" s="21" t="s">
        <v>254</v>
      </c>
      <c r="D340" s="22" t="s">
        <v>271</v>
      </c>
      <c r="E340" s="21" t="s">
        <v>13</v>
      </c>
      <c r="F340" s="294">
        <f>F341</f>
        <v>11450</v>
      </c>
      <c r="G340" s="12"/>
      <c r="H340" s="13"/>
    </row>
    <row r="341" spans="1:8" ht="15.75" customHeight="1" x14ac:dyDescent="0.2">
      <c r="A341" s="20" t="s">
        <v>272</v>
      </c>
      <c r="B341" s="21" t="s">
        <v>54</v>
      </c>
      <c r="C341" s="21" t="s">
        <v>254</v>
      </c>
      <c r="D341" s="22" t="s">
        <v>273</v>
      </c>
      <c r="E341" s="21"/>
      <c r="F341" s="294">
        <f>F342</f>
        <v>11450</v>
      </c>
      <c r="G341" s="131"/>
      <c r="H341" s="13"/>
    </row>
    <row r="342" spans="1:8" ht="31.5" customHeight="1" x14ac:dyDescent="0.2">
      <c r="A342" s="14" t="s">
        <v>206</v>
      </c>
      <c r="B342" s="21" t="s">
        <v>54</v>
      </c>
      <c r="C342" s="21" t="s">
        <v>254</v>
      </c>
      <c r="D342" s="22" t="s">
        <v>273</v>
      </c>
      <c r="E342" s="21" t="s">
        <v>207</v>
      </c>
      <c r="F342" s="294">
        <v>11450</v>
      </c>
      <c r="G342" s="140"/>
      <c r="H342" s="13"/>
    </row>
    <row r="343" spans="1:8" ht="47.25" customHeight="1" x14ac:dyDescent="0.2">
      <c r="A343" s="20" t="s">
        <v>85</v>
      </c>
      <c r="B343" s="21" t="s">
        <v>54</v>
      </c>
      <c r="C343" s="21" t="s">
        <v>254</v>
      </c>
      <c r="D343" s="22" t="s">
        <v>86</v>
      </c>
      <c r="E343" s="21" t="s">
        <v>13</v>
      </c>
      <c r="F343" s="294">
        <f>F344</f>
        <v>16869</v>
      </c>
      <c r="G343" s="12"/>
      <c r="H343" s="13"/>
    </row>
    <row r="344" spans="1:8" ht="31.5" customHeight="1" x14ac:dyDescent="0.2">
      <c r="A344" s="20" t="s">
        <v>274</v>
      </c>
      <c r="B344" s="21" t="s">
        <v>54</v>
      </c>
      <c r="C344" s="21" t="s">
        <v>254</v>
      </c>
      <c r="D344" s="22" t="s">
        <v>275</v>
      </c>
      <c r="E344" s="21" t="s">
        <v>13</v>
      </c>
      <c r="F344" s="294">
        <f>F345+F349+F347</f>
        <v>16869</v>
      </c>
      <c r="G344" s="12"/>
      <c r="H344" s="13"/>
    </row>
    <row r="345" spans="1:8" ht="51" customHeight="1" x14ac:dyDescent="0.2">
      <c r="A345" s="183" t="s">
        <v>946</v>
      </c>
      <c r="B345" s="21" t="s">
        <v>54</v>
      </c>
      <c r="C345" s="21" t="s">
        <v>254</v>
      </c>
      <c r="D345" s="8" t="s">
        <v>944</v>
      </c>
      <c r="E345" s="21"/>
      <c r="F345" s="294">
        <f>F346</f>
        <v>10219</v>
      </c>
      <c r="G345" s="12"/>
      <c r="H345" s="13"/>
    </row>
    <row r="346" spans="1:8" ht="51.75" customHeight="1" x14ac:dyDescent="0.2">
      <c r="A346" s="14" t="s">
        <v>206</v>
      </c>
      <c r="B346" s="21" t="s">
        <v>54</v>
      </c>
      <c r="C346" s="21" t="s">
        <v>254</v>
      </c>
      <c r="D346" s="8" t="s">
        <v>944</v>
      </c>
      <c r="E346" s="21" t="s">
        <v>207</v>
      </c>
      <c r="F346" s="294">
        <v>10219</v>
      </c>
      <c r="G346" s="44"/>
      <c r="H346" s="13"/>
    </row>
    <row r="347" spans="1:8" ht="48.75" customHeight="1" x14ac:dyDescent="0.2">
      <c r="A347" s="183" t="s">
        <v>943</v>
      </c>
      <c r="B347" s="21" t="s">
        <v>54</v>
      </c>
      <c r="C347" s="21" t="s">
        <v>254</v>
      </c>
      <c r="D347" s="8" t="s">
        <v>945</v>
      </c>
      <c r="E347" s="21"/>
      <c r="F347" s="294">
        <f>F348</f>
        <v>103.9</v>
      </c>
      <c r="G347" s="12"/>
      <c r="H347" s="13"/>
    </row>
    <row r="348" spans="1:8" ht="48.75" customHeight="1" x14ac:dyDescent="0.2">
      <c r="A348" s="14" t="s">
        <v>206</v>
      </c>
      <c r="B348" s="21" t="s">
        <v>54</v>
      </c>
      <c r="C348" s="21" t="s">
        <v>254</v>
      </c>
      <c r="D348" s="8" t="s">
        <v>945</v>
      </c>
      <c r="E348" s="21">
        <v>810</v>
      </c>
      <c r="F348" s="294">
        <v>103.9</v>
      </c>
      <c r="G348" s="12"/>
      <c r="H348" s="13"/>
    </row>
    <row r="349" spans="1:8" ht="31.5" customHeight="1" x14ac:dyDescent="0.2">
      <c r="A349" s="20" t="s">
        <v>276</v>
      </c>
      <c r="B349" s="21" t="s">
        <v>54</v>
      </c>
      <c r="C349" s="21" t="s">
        <v>254</v>
      </c>
      <c r="D349" s="22" t="s">
        <v>277</v>
      </c>
      <c r="E349" s="21"/>
      <c r="F349" s="294">
        <f>F350</f>
        <v>6546.1</v>
      </c>
      <c r="G349" s="141"/>
      <c r="H349" s="13"/>
    </row>
    <row r="350" spans="1:8" ht="31.5" customHeight="1" x14ac:dyDescent="0.2">
      <c r="A350" s="14" t="s">
        <v>206</v>
      </c>
      <c r="B350" s="21" t="s">
        <v>54</v>
      </c>
      <c r="C350" s="21" t="s">
        <v>254</v>
      </c>
      <c r="D350" s="22" t="s">
        <v>277</v>
      </c>
      <c r="E350" s="21" t="s">
        <v>207</v>
      </c>
      <c r="F350" s="294">
        <v>6546.1</v>
      </c>
      <c r="G350" s="43"/>
      <c r="H350" s="13"/>
    </row>
    <row r="351" spans="1:8" ht="15.75" customHeight="1" x14ac:dyDescent="0.2">
      <c r="A351" s="34" t="s">
        <v>278</v>
      </c>
      <c r="B351" s="35" t="s">
        <v>54</v>
      </c>
      <c r="C351" s="35" t="s">
        <v>279</v>
      </c>
      <c r="D351" s="36" t="s">
        <v>13</v>
      </c>
      <c r="E351" s="35" t="s">
        <v>13</v>
      </c>
      <c r="F351" s="297">
        <f>F352+F389+F427</f>
        <v>2592416.6999999997</v>
      </c>
      <c r="G351" s="12"/>
      <c r="H351" s="13"/>
    </row>
    <row r="352" spans="1:8" ht="15.75" customHeight="1" x14ac:dyDescent="0.2">
      <c r="A352" s="20" t="s">
        <v>280</v>
      </c>
      <c r="B352" s="21" t="s">
        <v>54</v>
      </c>
      <c r="C352" s="21" t="s">
        <v>281</v>
      </c>
      <c r="D352" s="22" t="s">
        <v>13</v>
      </c>
      <c r="E352" s="21" t="s">
        <v>13</v>
      </c>
      <c r="F352" s="294">
        <f>F353+F360+F368</f>
        <v>645919.30000000005</v>
      </c>
      <c r="G352" s="12"/>
      <c r="H352" s="13"/>
    </row>
    <row r="353" spans="1:11" ht="47.25" customHeight="1" x14ac:dyDescent="0.2">
      <c r="A353" s="20" t="s">
        <v>255</v>
      </c>
      <c r="B353" s="21" t="s">
        <v>54</v>
      </c>
      <c r="C353" s="21" t="s">
        <v>281</v>
      </c>
      <c r="D353" s="22" t="s">
        <v>256</v>
      </c>
      <c r="E353" s="21" t="s">
        <v>13</v>
      </c>
      <c r="F353" s="294">
        <f>F354+F357</f>
        <v>900</v>
      </c>
      <c r="G353" s="263"/>
      <c r="H353" s="13"/>
    </row>
    <row r="354" spans="1:11" ht="47.25" customHeight="1" x14ac:dyDescent="0.2">
      <c r="A354" s="20" t="s">
        <v>257</v>
      </c>
      <c r="B354" s="21" t="s">
        <v>54</v>
      </c>
      <c r="C354" s="21" t="s">
        <v>281</v>
      </c>
      <c r="D354" s="22" t="s">
        <v>258</v>
      </c>
      <c r="E354" s="21" t="s">
        <v>13</v>
      </c>
      <c r="F354" s="294">
        <f>SUM(F356)</f>
        <v>100</v>
      </c>
      <c r="G354" s="263"/>
      <c r="H354" s="13"/>
    </row>
    <row r="355" spans="1:11" ht="39" customHeight="1" x14ac:dyDescent="0.2">
      <c r="A355" s="20" t="s">
        <v>82</v>
      </c>
      <c r="B355" s="21" t="s">
        <v>54</v>
      </c>
      <c r="C355" s="21" t="s">
        <v>281</v>
      </c>
      <c r="D355" s="22" t="s">
        <v>259</v>
      </c>
      <c r="E355" s="21"/>
      <c r="F355" s="294">
        <f>F356</f>
        <v>100</v>
      </c>
      <c r="G355" s="263"/>
      <c r="H355" s="13"/>
    </row>
    <row r="356" spans="1:11" ht="40.5" customHeight="1" x14ac:dyDescent="0.2">
      <c r="A356" s="14" t="s">
        <v>43</v>
      </c>
      <c r="B356" s="21" t="s">
        <v>54</v>
      </c>
      <c r="C356" s="21" t="s">
        <v>281</v>
      </c>
      <c r="D356" s="22" t="s">
        <v>259</v>
      </c>
      <c r="E356" s="21">
        <v>240</v>
      </c>
      <c r="F356" s="294">
        <v>100</v>
      </c>
      <c r="G356" s="121"/>
      <c r="H356" s="13"/>
    </row>
    <row r="357" spans="1:11" ht="31.5" customHeight="1" x14ac:dyDescent="0.2">
      <c r="A357" s="20" t="s">
        <v>263</v>
      </c>
      <c r="B357" s="21" t="s">
        <v>54</v>
      </c>
      <c r="C357" s="21" t="s">
        <v>281</v>
      </c>
      <c r="D357" s="22" t="s">
        <v>264</v>
      </c>
      <c r="E357" s="21" t="s">
        <v>13</v>
      </c>
      <c r="F357" s="294">
        <f>F359</f>
        <v>800</v>
      </c>
      <c r="G357" s="263"/>
      <c r="H357" s="13"/>
    </row>
    <row r="358" spans="1:11" ht="31.5" customHeight="1" x14ac:dyDescent="0.2">
      <c r="A358" s="20" t="s">
        <v>82</v>
      </c>
      <c r="B358" s="21" t="s">
        <v>54</v>
      </c>
      <c r="C358" s="21" t="s">
        <v>281</v>
      </c>
      <c r="D358" s="22" t="s">
        <v>265</v>
      </c>
      <c r="E358" s="21"/>
      <c r="F358" s="294">
        <f>F359</f>
        <v>800</v>
      </c>
      <c r="G358" s="263"/>
      <c r="H358" s="13"/>
    </row>
    <row r="359" spans="1:11" ht="31.5" customHeight="1" x14ac:dyDescent="0.2">
      <c r="A359" s="14" t="s">
        <v>43</v>
      </c>
      <c r="B359" s="21" t="s">
        <v>54</v>
      </c>
      <c r="C359" s="21" t="s">
        <v>281</v>
      </c>
      <c r="D359" s="22" t="s">
        <v>265</v>
      </c>
      <c r="E359" s="21">
        <v>240</v>
      </c>
      <c r="F359" s="294">
        <v>800</v>
      </c>
      <c r="G359" s="152"/>
      <c r="H359" s="13"/>
    </row>
    <row r="360" spans="1:11" ht="47.25" customHeight="1" x14ac:dyDescent="0.2">
      <c r="A360" s="91" t="s">
        <v>237</v>
      </c>
      <c r="B360" s="21" t="s">
        <v>54</v>
      </c>
      <c r="C360" s="21" t="s">
        <v>281</v>
      </c>
      <c r="D360" s="22" t="s">
        <v>238</v>
      </c>
      <c r="E360" s="21"/>
      <c r="F360" s="294">
        <f>F361+F364+F366</f>
        <v>259080</v>
      </c>
      <c r="G360" s="43"/>
      <c r="H360" s="13"/>
    </row>
    <row r="361" spans="1:11" ht="15.75" customHeight="1" x14ac:dyDescent="0.2">
      <c r="A361" s="20" t="s">
        <v>282</v>
      </c>
      <c r="B361" s="21" t="s">
        <v>54</v>
      </c>
      <c r="C361" s="21" t="s">
        <v>281</v>
      </c>
      <c r="D361" s="22" t="s">
        <v>283</v>
      </c>
      <c r="E361" s="21" t="s">
        <v>13</v>
      </c>
      <c r="F361" s="294">
        <f>SUM(F362)</f>
        <v>19080</v>
      </c>
      <c r="G361" s="263"/>
      <c r="H361" s="13"/>
    </row>
    <row r="362" spans="1:11" ht="31.5" customHeight="1" x14ac:dyDescent="0.2">
      <c r="A362" s="20" t="s">
        <v>82</v>
      </c>
      <c r="B362" s="21" t="s">
        <v>54</v>
      </c>
      <c r="C362" s="21" t="s">
        <v>281</v>
      </c>
      <c r="D362" s="22" t="s">
        <v>284</v>
      </c>
      <c r="E362" s="21"/>
      <c r="F362" s="294">
        <f>F363</f>
        <v>19080</v>
      </c>
      <c r="G362" s="263"/>
      <c r="H362" s="13"/>
    </row>
    <row r="363" spans="1:11" ht="31.5" customHeight="1" x14ac:dyDescent="0.2">
      <c r="A363" s="14" t="s">
        <v>43</v>
      </c>
      <c r="B363" s="21" t="s">
        <v>54</v>
      </c>
      <c r="C363" s="21" t="s">
        <v>281</v>
      </c>
      <c r="D363" s="22" t="s">
        <v>284</v>
      </c>
      <c r="E363" s="21">
        <v>240</v>
      </c>
      <c r="F363" s="294">
        <v>19080</v>
      </c>
      <c r="G363" s="177"/>
      <c r="H363" s="13"/>
      <c r="K363" s="12"/>
    </row>
    <row r="364" spans="1:11" ht="43.5" customHeight="1" x14ac:dyDescent="0.2">
      <c r="A364" s="14" t="s">
        <v>1045</v>
      </c>
      <c r="B364" s="21">
        <v>902</v>
      </c>
      <c r="C364" s="21" t="s">
        <v>281</v>
      </c>
      <c r="D364" s="22" t="s">
        <v>1058</v>
      </c>
      <c r="E364" s="21"/>
      <c r="F364" s="294">
        <f>F365</f>
        <v>237600</v>
      </c>
      <c r="G364" s="40"/>
      <c r="H364" s="89"/>
    </row>
    <row r="365" spans="1:11" ht="43.5" customHeight="1" x14ac:dyDescent="0.2">
      <c r="A365" s="20" t="s">
        <v>206</v>
      </c>
      <c r="B365" s="21">
        <v>902</v>
      </c>
      <c r="C365" s="21" t="s">
        <v>281</v>
      </c>
      <c r="D365" s="22" t="s">
        <v>1058</v>
      </c>
      <c r="E365" s="21">
        <v>240</v>
      </c>
      <c r="F365" s="294">
        <v>237600</v>
      </c>
      <c r="G365" s="40"/>
      <c r="H365" s="89"/>
    </row>
    <row r="366" spans="1:11" ht="43.5" customHeight="1" x14ac:dyDescent="0.2">
      <c r="A366" s="320" t="s">
        <v>852</v>
      </c>
      <c r="B366" s="21">
        <v>902</v>
      </c>
      <c r="C366" s="21" t="s">
        <v>281</v>
      </c>
      <c r="D366" s="22" t="s">
        <v>1059</v>
      </c>
      <c r="E366" s="21"/>
      <c r="F366" s="294">
        <f>F367</f>
        <v>2400</v>
      </c>
      <c r="G366" s="40"/>
      <c r="H366" s="89"/>
    </row>
    <row r="367" spans="1:11" ht="43.5" customHeight="1" x14ac:dyDescent="0.2">
      <c r="A367" s="20" t="s">
        <v>206</v>
      </c>
      <c r="B367" s="21">
        <v>902</v>
      </c>
      <c r="C367" s="21" t="s">
        <v>281</v>
      </c>
      <c r="D367" s="22" t="s">
        <v>1059</v>
      </c>
      <c r="E367" s="21">
        <v>240</v>
      </c>
      <c r="F367" s="294">
        <v>2400</v>
      </c>
      <c r="G367" s="40"/>
      <c r="H367" s="89"/>
    </row>
    <row r="368" spans="1:11" ht="51" customHeight="1" x14ac:dyDescent="0.2">
      <c r="A368" s="20" t="s">
        <v>242</v>
      </c>
      <c r="B368" s="21" t="s">
        <v>54</v>
      </c>
      <c r="C368" s="21" t="s">
        <v>281</v>
      </c>
      <c r="D368" s="22" t="s">
        <v>243</v>
      </c>
      <c r="E368" s="21" t="s">
        <v>13</v>
      </c>
      <c r="F368" s="294">
        <f>F369+F383</f>
        <v>385939.30000000005</v>
      </c>
      <c r="G368" s="263"/>
      <c r="H368" s="13"/>
      <c r="K368" s="375"/>
    </row>
    <row r="369" spans="1:8" ht="47.25" customHeight="1" x14ac:dyDescent="0.2">
      <c r="A369" s="20" t="s">
        <v>290</v>
      </c>
      <c r="B369" s="21" t="s">
        <v>54</v>
      </c>
      <c r="C369" s="21" t="s">
        <v>281</v>
      </c>
      <c r="D369" s="22" t="s">
        <v>291</v>
      </c>
      <c r="E369" s="21" t="s">
        <v>13</v>
      </c>
      <c r="F369" s="294">
        <f>F373+F378+F370</f>
        <v>357367.9</v>
      </c>
      <c r="G369" s="263"/>
      <c r="H369" s="13"/>
    </row>
    <row r="370" spans="1:8" ht="47.25" customHeight="1" x14ac:dyDescent="0.2">
      <c r="A370" s="97" t="s">
        <v>718</v>
      </c>
      <c r="B370" s="21">
        <v>902</v>
      </c>
      <c r="C370" s="22" t="s">
        <v>281</v>
      </c>
      <c r="D370" s="96" t="s">
        <v>1115</v>
      </c>
      <c r="E370" s="21"/>
      <c r="F370" s="294">
        <f>F371</f>
        <v>225</v>
      </c>
      <c r="G370" s="263"/>
      <c r="H370" s="13"/>
    </row>
    <row r="371" spans="1:8" ht="47.25" customHeight="1" x14ac:dyDescent="0.2">
      <c r="A371" s="20" t="s">
        <v>234</v>
      </c>
      <c r="B371" s="21">
        <v>902</v>
      </c>
      <c r="C371" s="22" t="s">
        <v>281</v>
      </c>
      <c r="D371" s="96" t="s">
        <v>1022</v>
      </c>
      <c r="E371" s="21"/>
      <c r="F371" s="294">
        <f>F372</f>
        <v>225</v>
      </c>
      <c r="G371" s="263"/>
      <c r="H371" s="13"/>
    </row>
    <row r="372" spans="1:8" ht="47.25" customHeight="1" x14ac:dyDescent="0.2">
      <c r="A372" s="20" t="s">
        <v>269</v>
      </c>
      <c r="B372" s="21">
        <v>902</v>
      </c>
      <c r="C372" s="22" t="s">
        <v>281</v>
      </c>
      <c r="D372" s="96" t="s">
        <v>1022</v>
      </c>
      <c r="E372" s="21">
        <v>360</v>
      </c>
      <c r="F372" s="294">
        <v>225</v>
      </c>
      <c r="G372" s="263"/>
      <c r="H372" s="13"/>
    </row>
    <row r="373" spans="1:8" ht="47.25" customHeight="1" x14ac:dyDescent="0.2">
      <c r="A373" s="24" t="s">
        <v>293</v>
      </c>
      <c r="B373" s="21" t="s">
        <v>54</v>
      </c>
      <c r="C373" s="21" t="s">
        <v>281</v>
      </c>
      <c r="D373" s="22" t="s">
        <v>294</v>
      </c>
      <c r="E373" s="21"/>
      <c r="F373" s="294">
        <f>F376+F374</f>
        <v>297142.90000000002</v>
      </c>
      <c r="G373" s="12"/>
      <c r="H373" s="13"/>
    </row>
    <row r="374" spans="1:8" ht="31.5" x14ac:dyDescent="0.2">
      <c r="A374" s="20" t="s">
        <v>839</v>
      </c>
      <c r="B374" s="21" t="s">
        <v>54</v>
      </c>
      <c r="C374" s="21" t="s">
        <v>281</v>
      </c>
      <c r="D374" s="22" t="s">
        <v>1049</v>
      </c>
      <c r="E374" s="21"/>
      <c r="F374" s="294">
        <f>F375</f>
        <v>208000</v>
      </c>
      <c r="G374" s="12"/>
      <c r="H374" s="13"/>
    </row>
    <row r="375" spans="1:8" ht="31.5" x14ac:dyDescent="0.2">
      <c r="A375" s="20" t="s">
        <v>221</v>
      </c>
      <c r="B375" s="21" t="s">
        <v>54</v>
      </c>
      <c r="C375" s="21" t="s">
        <v>281</v>
      </c>
      <c r="D375" s="22" t="s">
        <v>1049</v>
      </c>
      <c r="E375" s="22" t="s">
        <v>236</v>
      </c>
      <c r="F375" s="295">
        <v>208000</v>
      </c>
      <c r="G375" s="12"/>
      <c r="H375" s="13"/>
    </row>
    <row r="376" spans="1:8" ht="31.5" x14ac:dyDescent="0.2">
      <c r="A376" s="183" t="s">
        <v>861</v>
      </c>
      <c r="B376" s="7" t="s">
        <v>54</v>
      </c>
      <c r="C376" s="7" t="s">
        <v>281</v>
      </c>
      <c r="D376" s="8" t="s">
        <v>1050</v>
      </c>
      <c r="E376" s="316"/>
      <c r="F376" s="330">
        <f>F377</f>
        <v>89142.9</v>
      </c>
      <c r="G376" s="12"/>
      <c r="H376" s="13"/>
    </row>
    <row r="377" spans="1:8" ht="31.5" customHeight="1" x14ac:dyDescent="0.2">
      <c r="A377" s="14" t="s">
        <v>221</v>
      </c>
      <c r="B377" s="7" t="s">
        <v>54</v>
      </c>
      <c r="C377" s="7" t="s">
        <v>281</v>
      </c>
      <c r="D377" s="8" t="s">
        <v>1050</v>
      </c>
      <c r="E377" s="8" t="s">
        <v>236</v>
      </c>
      <c r="F377" s="295">
        <f>98467.4-277.6+277.6-9324.5</f>
        <v>89142.9</v>
      </c>
      <c r="G377" s="16"/>
      <c r="H377" s="13"/>
    </row>
    <row r="378" spans="1:8" ht="51" customHeight="1" x14ac:dyDescent="0.2">
      <c r="A378" s="20" t="s">
        <v>875</v>
      </c>
      <c r="B378" s="21" t="s">
        <v>54</v>
      </c>
      <c r="C378" s="21" t="s">
        <v>281</v>
      </c>
      <c r="D378" s="22" t="s">
        <v>876</v>
      </c>
      <c r="E378" s="22"/>
      <c r="F378" s="294">
        <f>F379+F381</f>
        <v>60000</v>
      </c>
      <c r="G378" s="16"/>
      <c r="H378" s="13"/>
    </row>
    <row r="379" spans="1:8" ht="19.5" customHeight="1" x14ac:dyDescent="0.2">
      <c r="A379" s="20" t="s">
        <v>234</v>
      </c>
      <c r="B379" s="21">
        <v>902</v>
      </c>
      <c r="C379" s="21" t="s">
        <v>281</v>
      </c>
      <c r="D379" s="22" t="s">
        <v>877</v>
      </c>
      <c r="E379" s="22"/>
      <c r="F379" s="294">
        <f>F380</f>
        <v>0</v>
      </c>
      <c r="G379" s="16"/>
      <c r="H379" s="13"/>
    </row>
    <row r="380" spans="1:8" ht="24.75" customHeight="1" x14ac:dyDescent="0.2">
      <c r="A380" s="20" t="s">
        <v>269</v>
      </c>
      <c r="B380" s="21">
        <v>902</v>
      </c>
      <c r="C380" s="21" t="s">
        <v>281</v>
      </c>
      <c r="D380" s="22" t="s">
        <v>877</v>
      </c>
      <c r="E380" s="22" t="s">
        <v>1021</v>
      </c>
      <c r="F380" s="294">
        <f>225-225</f>
        <v>0</v>
      </c>
      <c r="G380" s="16"/>
      <c r="H380" s="13"/>
    </row>
    <row r="381" spans="1:8" ht="24" customHeight="1" x14ac:dyDescent="0.2">
      <c r="A381" s="20" t="s">
        <v>234</v>
      </c>
      <c r="B381" s="21" t="s">
        <v>54</v>
      </c>
      <c r="C381" s="21" t="s">
        <v>281</v>
      </c>
      <c r="D381" s="22" t="s">
        <v>877</v>
      </c>
      <c r="E381" s="21"/>
      <c r="F381" s="294">
        <f>F382</f>
        <v>60000</v>
      </c>
      <c r="G381" s="16"/>
      <c r="H381" s="13"/>
    </row>
    <row r="382" spans="1:8" ht="36" customHeight="1" x14ac:dyDescent="0.2">
      <c r="A382" s="20" t="s">
        <v>292</v>
      </c>
      <c r="B382" s="21" t="s">
        <v>54</v>
      </c>
      <c r="C382" s="21" t="s">
        <v>281</v>
      </c>
      <c r="D382" s="22" t="s">
        <v>877</v>
      </c>
      <c r="E382" s="21">
        <v>412</v>
      </c>
      <c r="F382" s="294">
        <v>60000</v>
      </c>
      <c r="G382" s="121"/>
      <c r="H382" s="13"/>
    </row>
    <row r="383" spans="1:8" ht="31.5" customHeight="1" x14ac:dyDescent="0.2">
      <c r="A383" s="20" t="s">
        <v>295</v>
      </c>
      <c r="B383" s="21" t="s">
        <v>54</v>
      </c>
      <c r="C383" s="21" t="s">
        <v>281</v>
      </c>
      <c r="D383" s="22" t="s">
        <v>296</v>
      </c>
      <c r="E383" s="21" t="s">
        <v>13</v>
      </c>
      <c r="F383" s="294">
        <f>F384</f>
        <v>28571.4</v>
      </c>
      <c r="G383" s="43"/>
      <c r="H383" s="13"/>
    </row>
    <row r="384" spans="1:8" ht="31.5" customHeight="1" x14ac:dyDescent="0.2">
      <c r="A384" s="139" t="s">
        <v>781</v>
      </c>
      <c r="B384" s="21" t="s">
        <v>54</v>
      </c>
      <c r="C384" s="21" t="s">
        <v>281</v>
      </c>
      <c r="D384" s="8" t="s">
        <v>782</v>
      </c>
      <c r="E384" s="21"/>
      <c r="F384" s="294">
        <f>F385+F387</f>
        <v>28571.4</v>
      </c>
      <c r="G384" s="53"/>
      <c r="H384" s="13"/>
    </row>
    <row r="385" spans="1:8" ht="31.5" customHeight="1" x14ac:dyDescent="0.2">
      <c r="A385" s="183" t="s">
        <v>839</v>
      </c>
      <c r="B385" s="21" t="s">
        <v>54</v>
      </c>
      <c r="C385" s="21" t="s">
        <v>281</v>
      </c>
      <c r="D385" s="8" t="s">
        <v>859</v>
      </c>
      <c r="E385" s="21"/>
      <c r="F385" s="294">
        <f>F386</f>
        <v>20000</v>
      </c>
      <c r="G385" s="121"/>
      <c r="H385" s="13"/>
    </row>
    <row r="386" spans="1:8" ht="31.5" customHeight="1" x14ac:dyDescent="0.2">
      <c r="A386" s="97" t="s">
        <v>292</v>
      </c>
      <c r="B386" s="21" t="s">
        <v>54</v>
      </c>
      <c r="C386" s="21" t="s">
        <v>281</v>
      </c>
      <c r="D386" s="8" t="s">
        <v>859</v>
      </c>
      <c r="E386" s="21">
        <v>412</v>
      </c>
      <c r="F386" s="294">
        <v>20000</v>
      </c>
      <c r="G386" s="121"/>
      <c r="H386" s="13"/>
    </row>
    <row r="387" spans="1:8" ht="31.5" customHeight="1" x14ac:dyDescent="0.2">
      <c r="A387" s="183" t="s">
        <v>861</v>
      </c>
      <c r="B387" s="21" t="s">
        <v>54</v>
      </c>
      <c r="C387" s="21" t="s">
        <v>281</v>
      </c>
      <c r="D387" s="8" t="s">
        <v>860</v>
      </c>
      <c r="E387" s="21"/>
      <c r="F387" s="294">
        <f>F388</f>
        <v>8571.4</v>
      </c>
      <c r="G387" s="121"/>
      <c r="H387" s="13"/>
    </row>
    <row r="388" spans="1:8" ht="31.5" customHeight="1" x14ac:dyDescent="0.2">
      <c r="A388" s="97" t="s">
        <v>292</v>
      </c>
      <c r="B388" s="21" t="s">
        <v>54</v>
      </c>
      <c r="C388" s="21" t="s">
        <v>281</v>
      </c>
      <c r="D388" s="8" t="s">
        <v>860</v>
      </c>
      <c r="E388" s="21">
        <v>412</v>
      </c>
      <c r="F388" s="294">
        <v>8571.4</v>
      </c>
      <c r="G388" s="121"/>
      <c r="H388" s="13"/>
    </row>
    <row r="389" spans="1:8" ht="15.75" customHeight="1" x14ac:dyDescent="0.2">
      <c r="A389" s="20" t="s">
        <v>297</v>
      </c>
      <c r="B389" s="21" t="s">
        <v>54</v>
      </c>
      <c r="C389" s="21" t="s">
        <v>298</v>
      </c>
      <c r="D389" s="22" t="s">
        <v>13</v>
      </c>
      <c r="E389" s="21" t="s">
        <v>13</v>
      </c>
      <c r="F389" s="294">
        <f>F390+F394+F398+F411+F417</f>
        <v>1790381.2999999998</v>
      </c>
      <c r="G389" s="12"/>
      <c r="H389" s="13"/>
    </row>
    <row r="390" spans="1:8" ht="47.25" customHeight="1" x14ac:dyDescent="0.2">
      <c r="A390" s="20" t="s">
        <v>255</v>
      </c>
      <c r="B390" s="21" t="s">
        <v>54</v>
      </c>
      <c r="C390" s="21" t="s">
        <v>298</v>
      </c>
      <c r="D390" s="22" t="s">
        <v>256</v>
      </c>
      <c r="E390" s="21" t="s">
        <v>13</v>
      </c>
      <c r="F390" s="294">
        <f>F391</f>
        <v>7984.2</v>
      </c>
      <c r="G390" s="12"/>
      <c r="H390" s="13"/>
    </row>
    <row r="391" spans="1:8" ht="31.5" customHeight="1" x14ac:dyDescent="0.2">
      <c r="A391" s="20" t="s">
        <v>263</v>
      </c>
      <c r="B391" s="21" t="s">
        <v>54</v>
      </c>
      <c r="C391" s="21" t="s">
        <v>298</v>
      </c>
      <c r="D391" s="22" t="s">
        <v>264</v>
      </c>
      <c r="E391" s="21" t="s">
        <v>13</v>
      </c>
      <c r="F391" s="294">
        <f>SUM(F393)</f>
        <v>7984.2</v>
      </c>
      <c r="G391" s="12"/>
      <c r="H391" s="13"/>
    </row>
    <row r="392" spans="1:8" ht="31.5" customHeight="1" x14ac:dyDescent="0.2">
      <c r="A392" s="20" t="s">
        <v>82</v>
      </c>
      <c r="B392" s="21" t="s">
        <v>54</v>
      </c>
      <c r="C392" s="21" t="s">
        <v>298</v>
      </c>
      <c r="D392" s="22" t="s">
        <v>265</v>
      </c>
      <c r="E392" s="21"/>
      <c r="F392" s="294">
        <f>F393</f>
        <v>7984.2</v>
      </c>
      <c r="G392" s="12"/>
      <c r="H392" s="13"/>
    </row>
    <row r="393" spans="1:8" ht="31.5" customHeight="1" x14ac:dyDescent="0.2">
      <c r="A393" s="14" t="s">
        <v>43</v>
      </c>
      <c r="B393" s="21" t="s">
        <v>54</v>
      </c>
      <c r="C393" s="21" t="s">
        <v>298</v>
      </c>
      <c r="D393" s="22" t="s">
        <v>265</v>
      </c>
      <c r="E393" s="21">
        <v>240</v>
      </c>
      <c r="F393" s="294">
        <f>7964.2+20</f>
        <v>7984.2</v>
      </c>
      <c r="G393" s="40"/>
      <c r="H393" s="13"/>
    </row>
    <row r="394" spans="1:8" ht="31.5" customHeight="1" x14ac:dyDescent="0.2">
      <c r="A394" s="20" t="s">
        <v>90</v>
      </c>
      <c r="B394" s="21" t="s">
        <v>54</v>
      </c>
      <c r="C394" s="21" t="s">
        <v>298</v>
      </c>
      <c r="D394" s="22" t="s">
        <v>91</v>
      </c>
      <c r="E394" s="21" t="s">
        <v>13</v>
      </c>
      <c r="F394" s="294">
        <f>F395</f>
        <v>9200</v>
      </c>
      <c r="G394" s="12"/>
      <c r="H394" s="13"/>
    </row>
    <row r="395" spans="1:8" ht="47.25" customHeight="1" x14ac:dyDescent="0.2">
      <c r="A395" s="20" t="s">
        <v>299</v>
      </c>
      <c r="B395" s="21" t="s">
        <v>54</v>
      </c>
      <c r="C395" s="21" t="s">
        <v>298</v>
      </c>
      <c r="D395" s="22" t="s">
        <v>300</v>
      </c>
      <c r="E395" s="21" t="s">
        <v>13</v>
      </c>
      <c r="F395" s="294">
        <f>F396</f>
        <v>9200</v>
      </c>
      <c r="G395" s="12"/>
      <c r="H395" s="13"/>
    </row>
    <row r="396" spans="1:8" ht="31.5" customHeight="1" x14ac:dyDescent="0.2">
      <c r="A396" s="20" t="s">
        <v>301</v>
      </c>
      <c r="B396" s="21" t="s">
        <v>54</v>
      </c>
      <c r="C396" s="21" t="s">
        <v>298</v>
      </c>
      <c r="D396" s="22" t="s">
        <v>302</v>
      </c>
      <c r="E396" s="21"/>
      <c r="F396" s="294">
        <f>F397</f>
        <v>9200</v>
      </c>
      <c r="G396" s="12"/>
      <c r="H396" s="13"/>
    </row>
    <row r="397" spans="1:8" ht="31.5" customHeight="1" x14ac:dyDescent="0.2">
      <c r="A397" s="14" t="s">
        <v>206</v>
      </c>
      <c r="B397" s="21" t="s">
        <v>54</v>
      </c>
      <c r="C397" s="21" t="s">
        <v>298</v>
      </c>
      <c r="D397" s="22" t="s">
        <v>302</v>
      </c>
      <c r="E397" s="21" t="s">
        <v>207</v>
      </c>
      <c r="F397" s="294">
        <v>9200</v>
      </c>
      <c r="G397" s="122"/>
      <c r="H397" s="13"/>
    </row>
    <row r="398" spans="1:8" ht="31.5" customHeight="1" x14ac:dyDescent="0.2">
      <c r="A398" s="20" t="s">
        <v>303</v>
      </c>
      <c r="B398" s="21" t="s">
        <v>54</v>
      </c>
      <c r="C398" s="21" t="s">
        <v>298</v>
      </c>
      <c r="D398" s="22" t="s">
        <v>304</v>
      </c>
      <c r="E398" s="21" t="s">
        <v>13</v>
      </c>
      <c r="F398" s="294">
        <f>F399+F404</f>
        <v>1412299.5</v>
      </c>
      <c r="G398" s="263"/>
      <c r="H398" s="13"/>
    </row>
    <row r="399" spans="1:8" ht="15.75" customHeight="1" x14ac:dyDescent="0.2">
      <c r="A399" s="20" t="s">
        <v>305</v>
      </c>
      <c r="B399" s="21" t="s">
        <v>54</v>
      </c>
      <c r="C399" s="21" t="s">
        <v>298</v>
      </c>
      <c r="D399" s="22" t="s">
        <v>306</v>
      </c>
      <c r="E399" s="21" t="s">
        <v>13</v>
      </c>
      <c r="F399" s="294">
        <f>F400+F402</f>
        <v>979012.5</v>
      </c>
      <c r="G399" s="263"/>
      <c r="H399" s="13"/>
    </row>
    <row r="400" spans="1:8" ht="33.75" customHeight="1" x14ac:dyDescent="0.2">
      <c r="A400" s="20" t="s">
        <v>839</v>
      </c>
      <c r="B400" s="21" t="s">
        <v>54</v>
      </c>
      <c r="C400" s="21" t="s">
        <v>298</v>
      </c>
      <c r="D400" s="22" t="s">
        <v>840</v>
      </c>
      <c r="E400" s="21"/>
      <c r="F400" s="294">
        <f>F401</f>
        <v>459820.9</v>
      </c>
      <c r="G400" s="263"/>
      <c r="H400" s="13"/>
    </row>
    <row r="401" spans="1:8" ht="31.5" x14ac:dyDescent="0.2">
      <c r="A401" s="20" t="s">
        <v>221</v>
      </c>
      <c r="B401" s="21" t="s">
        <v>54</v>
      </c>
      <c r="C401" s="21" t="s">
        <v>298</v>
      </c>
      <c r="D401" s="22" t="s">
        <v>840</v>
      </c>
      <c r="E401" s="21">
        <v>414</v>
      </c>
      <c r="F401" s="294">
        <f>402557.2+57263.7</f>
        <v>459820.9</v>
      </c>
      <c r="G401" s="242"/>
      <c r="H401" s="13"/>
    </row>
    <row r="402" spans="1:8" ht="33.75" customHeight="1" x14ac:dyDescent="0.2">
      <c r="A402" s="20" t="s">
        <v>247</v>
      </c>
      <c r="B402" s="21" t="s">
        <v>54</v>
      </c>
      <c r="C402" s="21" t="s">
        <v>298</v>
      </c>
      <c r="D402" s="22" t="s">
        <v>307</v>
      </c>
      <c r="E402" s="21"/>
      <c r="F402" s="294">
        <f>F403</f>
        <v>519191.60000000003</v>
      </c>
      <c r="G402" s="263"/>
      <c r="H402" s="13"/>
    </row>
    <row r="403" spans="1:8" ht="31.5" customHeight="1" x14ac:dyDescent="0.2">
      <c r="A403" s="20" t="s">
        <v>221</v>
      </c>
      <c r="B403" s="21" t="s">
        <v>54</v>
      </c>
      <c r="C403" s="21" t="s">
        <v>298</v>
      </c>
      <c r="D403" s="22" t="s">
        <v>307</v>
      </c>
      <c r="E403" s="21">
        <v>414</v>
      </c>
      <c r="F403" s="294">
        <f>243696+24541.5+263246.3-11907.5-384.7</f>
        <v>519191.60000000003</v>
      </c>
      <c r="G403" s="336"/>
      <c r="H403" s="13"/>
    </row>
    <row r="404" spans="1:8" ht="31.5" customHeight="1" x14ac:dyDescent="0.2">
      <c r="A404" s="24" t="s">
        <v>308</v>
      </c>
      <c r="B404" s="21" t="s">
        <v>54</v>
      </c>
      <c r="C404" s="21" t="s">
        <v>298</v>
      </c>
      <c r="D404" s="22" t="s">
        <v>309</v>
      </c>
      <c r="E404" s="21"/>
      <c r="F404" s="294">
        <f>F407+F409+F405</f>
        <v>433287</v>
      </c>
      <c r="G404" s="263"/>
      <c r="H404" s="13"/>
    </row>
    <row r="405" spans="1:8" ht="31.5" customHeight="1" x14ac:dyDescent="0.2">
      <c r="A405" s="371" t="s">
        <v>82</v>
      </c>
      <c r="B405" s="21" t="s">
        <v>54</v>
      </c>
      <c r="C405" s="21" t="s">
        <v>298</v>
      </c>
      <c r="D405" s="22" t="s">
        <v>1111</v>
      </c>
      <c r="E405" s="21"/>
      <c r="F405" s="294">
        <f>F406</f>
        <v>37934.1</v>
      </c>
      <c r="G405" s="263"/>
      <c r="H405" s="13"/>
    </row>
    <row r="406" spans="1:8" ht="31.5" customHeight="1" x14ac:dyDescent="0.2">
      <c r="A406" s="372" t="s">
        <v>43</v>
      </c>
      <c r="B406" s="21" t="s">
        <v>54</v>
      </c>
      <c r="C406" s="21" t="s">
        <v>298</v>
      </c>
      <c r="D406" s="22" t="s">
        <v>1111</v>
      </c>
      <c r="E406" s="21">
        <v>240</v>
      </c>
      <c r="F406" s="294">
        <v>37934.1</v>
      </c>
      <c r="G406" s="263"/>
      <c r="H406" s="13"/>
    </row>
    <row r="407" spans="1:8" ht="31.5" customHeight="1" x14ac:dyDescent="0.2">
      <c r="A407" s="227" t="s">
        <v>1045</v>
      </c>
      <c r="B407" s="21" t="s">
        <v>54</v>
      </c>
      <c r="C407" s="21" t="s">
        <v>298</v>
      </c>
      <c r="D407" s="22" t="s">
        <v>1044</v>
      </c>
      <c r="E407" s="21"/>
      <c r="F407" s="294">
        <f>F408</f>
        <v>270000</v>
      </c>
      <c r="G407" s="263"/>
      <c r="H407" s="13"/>
    </row>
    <row r="408" spans="1:8" ht="31.5" customHeight="1" x14ac:dyDescent="0.2">
      <c r="A408" s="319" t="s">
        <v>43</v>
      </c>
      <c r="B408" s="21" t="s">
        <v>54</v>
      </c>
      <c r="C408" s="21" t="s">
        <v>298</v>
      </c>
      <c r="D408" s="22" t="s">
        <v>1044</v>
      </c>
      <c r="E408" s="21">
        <v>240</v>
      </c>
      <c r="F408" s="294">
        <v>270000</v>
      </c>
      <c r="G408" s="263"/>
      <c r="H408" s="13"/>
    </row>
    <row r="409" spans="1:8" ht="31.5" customHeight="1" x14ac:dyDescent="0.2">
      <c r="A409" s="134" t="s">
        <v>852</v>
      </c>
      <c r="B409" s="21" t="s">
        <v>54</v>
      </c>
      <c r="C409" s="21" t="s">
        <v>298</v>
      </c>
      <c r="D409" s="22" t="s">
        <v>310</v>
      </c>
      <c r="E409" s="21"/>
      <c r="F409" s="294">
        <f>F410</f>
        <v>125352.9</v>
      </c>
      <c r="G409" s="263"/>
      <c r="H409" s="13"/>
    </row>
    <row r="410" spans="1:8" ht="31.5" customHeight="1" x14ac:dyDescent="0.2">
      <c r="A410" s="14" t="s">
        <v>43</v>
      </c>
      <c r="B410" s="21" t="s">
        <v>54</v>
      </c>
      <c r="C410" s="21" t="s">
        <v>298</v>
      </c>
      <c r="D410" s="22" t="s">
        <v>310</v>
      </c>
      <c r="E410" s="21">
        <v>240</v>
      </c>
      <c r="F410" s="294">
        <f>168000-5265.6-27081.5-10300</f>
        <v>125352.9</v>
      </c>
      <c r="G410" s="336"/>
      <c r="H410" s="13"/>
    </row>
    <row r="411" spans="1:8" ht="31.5" customHeight="1" x14ac:dyDescent="0.2">
      <c r="A411" s="20" t="s">
        <v>313</v>
      </c>
      <c r="B411" s="21" t="s">
        <v>54</v>
      </c>
      <c r="C411" s="21" t="s">
        <v>298</v>
      </c>
      <c r="D411" s="22" t="s">
        <v>314</v>
      </c>
      <c r="E411" s="21" t="s">
        <v>13</v>
      </c>
      <c r="F411" s="294">
        <f>F412</f>
        <v>177361.69999999998</v>
      </c>
      <c r="G411" s="12"/>
      <c r="H411" s="13"/>
    </row>
    <row r="412" spans="1:8" ht="15.75" customHeight="1" x14ac:dyDescent="0.2">
      <c r="A412" s="20" t="s">
        <v>315</v>
      </c>
      <c r="B412" s="21" t="s">
        <v>54</v>
      </c>
      <c r="C412" s="21" t="s">
        <v>298</v>
      </c>
      <c r="D412" s="22" t="s">
        <v>316</v>
      </c>
      <c r="E412" s="21" t="s">
        <v>13</v>
      </c>
      <c r="F412" s="294">
        <f>F415+F413</f>
        <v>177361.69999999998</v>
      </c>
      <c r="G412" s="12"/>
      <c r="H412" s="13"/>
    </row>
    <row r="413" spans="1:8" ht="31.5" x14ac:dyDescent="0.2">
      <c r="A413" s="20" t="s">
        <v>839</v>
      </c>
      <c r="B413" s="21" t="s">
        <v>54</v>
      </c>
      <c r="C413" s="21" t="s">
        <v>298</v>
      </c>
      <c r="D413" s="22" t="s">
        <v>1067</v>
      </c>
      <c r="E413" s="21"/>
      <c r="F413" s="294">
        <f>F414</f>
        <v>123042.9</v>
      </c>
      <c r="G413" s="12"/>
      <c r="H413" s="13"/>
    </row>
    <row r="414" spans="1:8" ht="31.5" x14ac:dyDescent="0.2">
      <c r="A414" s="20" t="s">
        <v>221</v>
      </c>
      <c r="B414" s="21" t="s">
        <v>54</v>
      </c>
      <c r="C414" s="21" t="s">
        <v>298</v>
      </c>
      <c r="D414" s="22" t="s">
        <v>1067</v>
      </c>
      <c r="E414" s="21">
        <v>414</v>
      </c>
      <c r="F414" s="294">
        <f>109042.9+14000</f>
        <v>123042.9</v>
      </c>
      <c r="G414" s="12"/>
      <c r="H414" s="13"/>
    </row>
    <row r="415" spans="1:8" ht="54" customHeight="1" x14ac:dyDescent="0.2">
      <c r="A415" s="20" t="s">
        <v>247</v>
      </c>
      <c r="B415" s="21" t="s">
        <v>54</v>
      </c>
      <c r="C415" s="21" t="s">
        <v>298</v>
      </c>
      <c r="D415" s="22" t="s">
        <v>318</v>
      </c>
      <c r="E415" s="21"/>
      <c r="F415" s="294">
        <f>F416</f>
        <v>54318.799999999996</v>
      </c>
      <c r="G415" s="12"/>
      <c r="H415" s="13"/>
    </row>
    <row r="416" spans="1:8" ht="36" customHeight="1" x14ac:dyDescent="0.2">
      <c r="A416" s="20" t="s">
        <v>221</v>
      </c>
      <c r="B416" s="21" t="s">
        <v>54</v>
      </c>
      <c r="C416" s="21" t="s">
        <v>298</v>
      </c>
      <c r="D416" s="22" t="s">
        <v>318</v>
      </c>
      <c r="E416" s="21">
        <v>414</v>
      </c>
      <c r="F416" s="294">
        <f>48282.6-550+6586.2</f>
        <v>54318.799999999996</v>
      </c>
      <c r="G416" s="23"/>
      <c r="H416" s="13"/>
    </row>
    <row r="417" spans="1:8" ht="51" customHeight="1" x14ac:dyDescent="0.2">
      <c r="A417" s="20" t="s">
        <v>242</v>
      </c>
      <c r="B417" s="21" t="s">
        <v>54</v>
      </c>
      <c r="C417" s="21" t="s">
        <v>298</v>
      </c>
      <c r="D417" s="22" t="s">
        <v>243</v>
      </c>
      <c r="E417" s="21" t="s">
        <v>13</v>
      </c>
      <c r="F417" s="294">
        <f>F418</f>
        <v>183535.9</v>
      </c>
      <c r="G417" s="12"/>
      <c r="H417" s="13"/>
    </row>
    <row r="418" spans="1:8" ht="31.5" customHeight="1" x14ac:dyDescent="0.2">
      <c r="A418" s="20" t="s">
        <v>319</v>
      </c>
      <c r="B418" s="21" t="s">
        <v>54</v>
      </c>
      <c r="C418" s="21" t="s">
        <v>298</v>
      </c>
      <c r="D418" s="22" t="s">
        <v>245</v>
      </c>
      <c r="E418" s="21" t="s">
        <v>13</v>
      </c>
      <c r="F418" s="294">
        <f>F419+F424</f>
        <v>183535.9</v>
      </c>
      <c r="G418" s="12"/>
      <c r="H418" s="13"/>
    </row>
    <row r="419" spans="1:8" ht="47.25" customHeight="1" x14ac:dyDescent="0.2">
      <c r="A419" s="24" t="s">
        <v>248</v>
      </c>
      <c r="B419" s="21" t="s">
        <v>54</v>
      </c>
      <c r="C419" s="21" t="s">
        <v>298</v>
      </c>
      <c r="D419" s="22" t="s">
        <v>249</v>
      </c>
      <c r="E419" s="21" t="s">
        <v>13</v>
      </c>
      <c r="F419" s="294">
        <f>F420+F422</f>
        <v>177093.5</v>
      </c>
      <c r="G419" s="263"/>
      <c r="H419" s="13"/>
    </row>
    <row r="420" spans="1:8" ht="33" customHeight="1" x14ac:dyDescent="0.2">
      <c r="A420" s="24" t="s">
        <v>839</v>
      </c>
      <c r="B420" s="21" t="s">
        <v>54</v>
      </c>
      <c r="C420" s="21" t="s">
        <v>298</v>
      </c>
      <c r="D420" s="22" t="s">
        <v>853</v>
      </c>
      <c r="E420" s="21"/>
      <c r="F420" s="294">
        <f>F421</f>
        <v>114510.2</v>
      </c>
      <c r="G420" s="263"/>
      <c r="H420" s="13"/>
    </row>
    <row r="421" spans="1:8" ht="36" customHeight="1" x14ac:dyDescent="0.2">
      <c r="A421" s="20" t="s">
        <v>221</v>
      </c>
      <c r="B421" s="21" t="s">
        <v>54</v>
      </c>
      <c r="C421" s="21" t="s">
        <v>298</v>
      </c>
      <c r="D421" s="22" t="s">
        <v>853</v>
      </c>
      <c r="E421" s="21">
        <v>414</v>
      </c>
      <c r="F421" s="295">
        <v>114510.2</v>
      </c>
      <c r="G421" s="263"/>
      <c r="H421" s="13"/>
    </row>
    <row r="422" spans="1:8" ht="47.25" customHeight="1" x14ac:dyDescent="0.2">
      <c r="A422" s="48" t="s">
        <v>250</v>
      </c>
      <c r="B422" s="21" t="s">
        <v>54</v>
      </c>
      <c r="C422" s="21" t="s">
        <v>298</v>
      </c>
      <c r="D422" s="22" t="s">
        <v>842</v>
      </c>
      <c r="E422" s="21"/>
      <c r="F422" s="294">
        <f>F423</f>
        <v>62583.3</v>
      </c>
      <c r="G422" s="263"/>
      <c r="H422" s="13"/>
    </row>
    <row r="423" spans="1:8" ht="31.5" customHeight="1" x14ac:dyDescent="0.2">
      <c r="A423" s="20" t="s">
        <v>221</v>
      </c>
      <c r="B423" s="21" t="s">
        <v>54</v>
      </c>
      <c r="C423" s="21" t="s">
        <v>298</v>
      </c>
      <c r="D423" s="22" t="s">
        <v>842</v>
      </c>
      <c r="E423" s="21">
        <v>414</v>
      </c>
      <c r="F423" s="294">
        <f>49075.8-2540+2540+100+11907.5+1500</f>
        <v>62583.3</v>
      </c>
      <c r="G423" s="336"/>
      <c r="H423" s="13"/>
    </row>
    <row r="424" spans="1:8" ht="31.5" customHeight="1" x14ac:dyDescent="0.2">
      <c r="A424" s="24" t="s">
        <v>251</v>
      </c>
      <c r="B424" s="21" t="s">
        <v>54</v>
      </c>
      <c r="C424" s="21" t="s">
        <v>298</v>
      </c>
      <c r="D424" s="22" t="s">
        <v>252</v>
      </c>
      <c r="E424" s="21" t="s">
        <v>13</v>
      </c>
      <c r="F424" s="294">
        <f>F425</f>
        <v>6442.4</v>
      </c>
      <c r="G424" s="263"/>
      <c r="H424" s="13"/>
    </row>
    <row r="425" spans="1:8" ht="47.25" customHeight="1" x14ac:dyDescent="0.2">
      <c r="A425" s="48" t="s">
        <v>246</v>
      </c>
      <c r="B425" s="21" t="s">
        <v>54</v>
      </c>
      <c r="C425" s="21" t="s">
        <v>298</v>
      </c>
      <c r="D425" s="22" t="s">
        <v>841</v>
      </c>
      <c r="E425" s="21"/>
      <c r="F425" s="294">
        <f>F426</f>
        <v>6442.4</v>
      </c>
      <c r="G425" s="263"/>
      <c r="H425" s="13"/>
    </row>
    <row r="426" spans="1:8" ht="31.5" customHeight="1" x14ac:dyDescent="0.2">
      <c r="A426" s="20" t="s">
        <v>221</v>
      </c>
      <c r="B426" s="21" t="s">
        <v>54</v>
      </c>
      <c r="C426" s="21" t="s">
        <v>298</v>
      </c>
      <c r="D426" s="22" t="s">
        <v>841</v>
      </c>
      <c r="E426" s="21">
        <v>414</v>
      </c>
      <c r="F426" s="294">
        <f>10812.5-4810.7+1940.6-1500</f>
        <v>6442.4</v>
      </c>
      <c r="G426" s="16"/>
      <c r="H426" s="13"/>
    </row>
    <row r="427" spans="1:8" ht="15.75" customHeight="1" x14ac:dyDescent="0.2">
      <c r="A427" s="20" t="s">
        <v>320</v>
      </c>
      <c r="B427" s="21" t="s">
        <v>54</v>
      </c>
      <c r="C427" s="21" t="s">
        <v>321</v>
      </c>
      <c r="D427" s="22" t="s">
        <v>13</v>
      </c>
      <c r="E427" s="21" t="s">
        <v>13</v>
      </c>
      <c r="F427" s="294">
        <f>F428+F442+F438</f>
        <v>156116.1</v>
      </c>
      <c r="G427" s="263"/>
      <c r="H427" s="13"/>
    </row>
    <row r="428" spans="1:8" ht="47.25" customHeight="1" x14ac:dyDescent="0.2">
      <c r="A428" s="24" t="s">
        <v>237</v>
      </c>
      <c r="B428" s="21" t="s">
        <v>54</v>
      </c>
      <c r="C428" s="21" t="s">
        <v>321</v>
      </c>
      <c r="D428" s="22" t="s">
        <v>238</v>
      </c>
      <c r="E428" s="21"/>
      <c r="F428" s="294">
        <f>F429+F432+F435</f>
        <v>300</v>
      </c>
      <c r="G428" s="263"/>
      <c r="H428" s="13"/>
    </row>
    <row r="429" spans="1:8" ht="15.75" customHeight="1" x14ac:dyDescent="0.2">
      <c r="A429" s="24" t="s">
        <v>322</v>
      </c>
      <c r="B429" s="21" t="s">
        <v>54</v>
      </c>
      <c r="C429" s="21" t="s">
        <v>321</v>
      </c>
      <c r="D429" s="22" t="s">
        <v>240</v>
      </c>
      <c r="E429" s="21"/>
      <c r="F429" s="294">
        <f>F430</f>
        <v>0</v>
      </c>
      <c r="G429" s="263"/>
      <c r="H429" s="13"/>
    </row>
    <row r="430" spans="1:8" ht="31.5" customHeight="1" x14ac:dyDescent="0.2">
      <c r="A430" s="20" t="s">
        <v>82</v>
      </c>
      <c r="B430" s="21" t="s">
        <v>54</v>
      </c>
      <c r="C430" s="21" t="s">
        <v>321</v>
      </c>
      <c r="D430" s="22" t="s">
        <v>241</v>
      </c>
      <c r="E430" s="21" t="s">
        <v>13</v>
      </c>
      <c r="F430" s="294">
        <f>F431</f>
        <v>0</v>
      </c>
      <c r="G430" s="263"/>
      <c r="H430" s="13"/>
    </row>
    <row r="431" spans="1:8" ht="31.5" customHeight="1" x14ac:dyDescent="0.2">
      <c r="A431" s="14" t="s">
        <v>43</v>
      </c>
      <c r="B431" s="21" t="s">
        <v>54</v>
      </c>
      <c r="C431" s="21" t="s">
        <v>321</v>
      </c>
      <c r="D431" s="22" t="s">
        <v>241</v>
      </c>
      <c r="E431" s="21">
        <v>240</v>
      </c>
      <c r="F431" s="294">
        <f>15816.1+8000-23816.1</f>
        <v>0</v>
      </c>
      <c r="G431" s="263"/>
      <c r="H431" s="13"/>
    </row>
    <row r="432" spans="1:8" ht="32.25" customHeight="1" x14ac:dyDescent="0.2">
      <c r="A432" s="14" t="s">
        <v>935</v>
      </c>
      <c r="B432" s="21">
        <v>902</v>
      </c>
      <c r="C432" s="21" t="s">
        <v>321</v>
      </c>
      <c r="D432" s="22" t="s">
        <v>926</v>
      </c>
      <c r="E432" s="21"/>
      <c r="F432" s="294">
        <f>F433</f>
        <v>0</v>
      </c>
      <c r="G432" s="225"/>
      <c r="H432" s="13"/>
    </row>
    <row r="433" spans="1:8" ht="48.75" customHeight="1" x14ac:dyDescent="0.2">
      <c r="A433" s="228" t="s">
        <v>930</v>
      </c>
      <c r="B433" s="21">
        <v>902</v>
      </c>
      <c r="C433" s="21" t="s">
        <v>321</v>
      </c>
      <c r="D433" s="22" t="s">
        <v>927</v>
      </c>
      <c r="E433" s="21"/>
      <c r="F433" s="294">
        <f>F434</f>
        <v>0</v>
      </c>
      <c r="G433" s="225"/>
      <c r="H433" s="13"/>
    </row>
    <row r="434" spans="1:8" ht="31.5" customHeight="1" x14ac:dyDescent="0.2">
      <c r="A434" s="14" t="s">
        <v>43</v>
      </c>
      <c r="B434" s="21">
        <v>902</v>
      </c>
      <c r="C434" s="21" t="s">
        <v>321</v>
      </c>
      <c r="D434" s="22" t="s">
        <v>927</v>
      </c>
      <c r="E434" s="21">
        <v>240</v>
      </c>
      <c r="F434" s="294">
        <f>2000-2000</f>
        <v>0</v>
      </c>
      <c r="G434" s="263"/>
      <c r="H434" s="13"/>
    </row>
    <row r="435" spans="1:8" ht="31.5" customHeight="1" x14ac:dyDescent="0.2">
      <c r="A435" s="91" t="s">
        <v>533</v>
      </c>
      <c r="B435" s="21">
        <v>902</v>
      </c>
      <c r="C435" s="92" t="s">
        <v>321</v>
      </c>
      <c r="D435" s="22" t="s">
        <v>534</v>
      </c>
      <c r="E435" s="21"/>
      <c r="F435" s="294">
        <f>F436</f>
        <v>300</v>
      </c>
      <c r="G435" s="263"/>
      <c r="H435" s="13"/>
    </row>
    <row r="436" spans="1:8" ht="31.5" customHeight="1" x14ac:dyDescent="0.2">
      <c r="A436" s="20" t="s">
        <v>82</v>
      </c>
      <c r="B436" s="21">
        <v>902</v>
      </c>
      <c r="C436" s="92" t="s">
        <v>321</v>
      </c>
      <c r="D436" s="22" t="s">
        <v>535</v>
      </c>
      <c r="E436" s="21"/>
      <c r="F436" s="294">
        <f>F437</f>
        <v>300</v>
      </c>
      <c r="G436" s="263"/>
      <c r="H436" s="13"/>
    </row>
    <row r="437" spans="1:8" ht="31.5" customHeight="1" x14ac:dyDescent="0.2">
      <c r="A437" s="14" t="s">
        <v>43</v>
      </c>
      <c r="B437" s="21">
        <v>902</v>
      </c>
      <c r="C437" s="92" t="s">
        <v>321</v>
      </c>
      <c r="D437" s="22" t="s">
        <v>535</v>
      </c>
      <c r="E437" s="21">
        <v>240</v>
      </c>
      <c r="F437" s="294">
        <v>300</v>
      </c>
      <c r="G437" s="252"/>
      <c r="H437" s="13"/>
    </row>
    <row r="438" spans="1:8" ht="31.5" customHeight="1" x14ac:dyDescent="0.2">
      <c r="A438" s="14" t="s">
        <v>1096</v>
      </c>
      <c r="B438" s="21">
        <v>902</v>
      </c>
      <c r="C438" s="21" t="s">
        <v>321</v>
      </c>
      <c r="D438" s="22" t="s">
        <v>1097</v>
      </c>
      <c r="E438" s="21"/>
      <c r="F438" s="294">
        <f>F439</f>
        <v>25816.1</v>
      </c>
      <c r="G438" s="263"/>
      <c r="H438" s="13"/>
    </row>
    <row r="439" spans="1:8" ht="31.5" customHeight="1" x14ac:dyDescent="0.2">
      <c r="A439" s="14" t="s">
        <v>947</v>
      </c>
      <c r="B439" s="21">
        <v>902</v>
      </c>
      <c r="C439" s="21" t="s">
        <v>321</v>
      </c>
      <c r="D439" s="22" t="s">
        <v>1098</v>
      </c>
      <c r="E439" s="21"/>
      <c r="F439" s="294">
        <f>F440</f>
        <v>25816.1</v>
      </c>
      <c r="G439" s="263"/>
      <c r="H439" s="13"/>
    </row>
    <row r="440" spans="1:8" ht="31.5" customHeight="1" x14ac:dyDescent="0.2">
      <c r="A440" s="14" t="s">
        <v>1100</v>
      </c>
      <c r="B440" s="21">
        <v>902</v>
      </c>
      <c r="C440" s="21" t="s">
        <v>321</v>
      </c>
      <c r="D440" s="22" t="s">
        <v>1101</v>
      </c>
      <c r="E440" s="21"/>
      <c r="F440" s="294">
        <f>F441</f>
        <v>25816.1</v>
      </c>
      <c r="G440" s="263"/>
      <c r="H440" s="13"/>
    </row>
    <row r="441" spans="1:8" ht="31.5" customHeight="1" x14ac:dyDescent="0.2">
      <c r="A441" s="14" t="s">
        <v>43</v>
      </c>
      <c r="B441" s="21">
        <v>902</v>
      </c>
      <c r="C441" s="21" t="s">
        <v>321</v>
      </c>
      <c r="D441" s="22" t="s">
        <v>1101</v>
      </c>
      <c r="E441" s="21">
        <v>240</v>
      </c>
      <c r="F441" s="294">
        <v>25816.1</v>
      </c>
      <c r="G441" s="263"/>
      <c r="H441" s="13"/>
    </row>
    <row r="442" spans="1:8" ht="47.25" customHeight="1" x14ac:dyDescent="0.2">
      <c r="A442" s="20" t="s">
        <v>326</v>
      </c>
      <c r="B442" s="21" t="s">
        <v>54</v>
      </c>
      <c r="C442" s="21" t="s">
        <v>321</v>
      </c>
      <c r="D442" s="22" t="s">
        <v>327</v>
      </c>
      <c r="E442" s="21" t="s">
        <v>13</v>
      </c>
      <c r="F442" s="294">
        <f>F443</f>
        <v>130000</v>
      </c>
      <c r="G442" s="12"/>
      <c r="H442" s="13"/>
    </row>
    <row r="443" spans="1:8" ht="47.25" customHeight="1" x14ac:dyDescent="0.2">
      <c r="A443" s="24" t="s">
        <v>328</v>
      </c>
      <c r="B443" s="21" t="s">
        <v>54</v>
      </c>
      <c r="C443" s="21" t="s">
        <v>321</v>
      </c>
      <c r="D443" s="22" t="s">
        <v>329</v>
      </c>
      <c r="E443" s="21" t="s">
        <v>13</v>
      </c>
      <c r="F443" s="294">
        <f>F444</f>
        <v>130000</v>
      </c>
      <c r="G443" s="12"/>
      <c r="H443" s="13"/>
    </row>
    <row r="444" spans="1:8" ht="15.75" customHeight="1" x14ac:dyDescent="0.2">
      <c r="A444" s="24" t="s">
        <v>330</v>
      </c>
      <c r="B444" s="21" t="s">
        <v>54</v>
      </c>
      <c r="C444" s="21" t="s">
        <v>321</v>
      </c>
      <c r="D444" s="22" t="s">
        <v>331</v>
      </c>
      <c r="E444" s="21" t="s">
        <v>13</v>
      </c>
      <c r="F444" s="294">
        <f>F445</f>
        <v>130000</v>
      </c>
      <c r="G444" s="12"/>
      <c r="H444" s="13"/>
    </row>
    <row r="445" spans="1:8" ht="15.75" customHeight="1" x14ac:dyDescent="0.2">
      <c r="A445" s="24" t="s">
        <v>234</v>
      </c>
      <c r="B445" s="21" t="s">
        <v>54</v>
      </c>
      <c r="C445" s="21" t="s">
        <v>321</v>
      </c>
      <c r="D445" s="22" t="s">
        <v>332</v>
      </c>
      <c r="E445" s="21"/>
      <c r="F445" s="294">
        <f>F446</f>
        <v>130000</v>
      </c>
      <c r="G445" s="12"/>
      <c r="H445" s="13"/>
    </row>
    <row r="446" spans="1:8" ht="31.5" customHeight="1" x14ac:dyDescent="0.2">
      <c r="A446" s="20" t="s">
        <v>221</v>
      </c>
      <c r="B446" s="21" t="s">
        <v>54</v>
      </c>
      <c r="C446" s="21" t="s">
        <v>321</v>
      </c>
      <c r="D446" s="22" t="s">
        <v>332</v>
      </c>
      <c r="E446" s="21" t="s">
        <v>236</v>
      </c>
      <c r="F446" s="294">
        <v>130000</v>
      </c>
      <c r="G446" s="23"/>
      <c r="H446" s="13"/>
    </row>
    <row r="447" spans="1:8" ht="15.75" customHeight="1" x14ac:dyDescent="0.2">
      <c r="A447" s="34" t="s">
        <v>333</v>
      </c>
      <c r="B447" s="35" t="s">
        <v>54</v>
      </c>
      <c r="C447" s="35" t="s">
        <v>334</v>
      </c>
      <c r="D447" s="36" t="s">
        <v>13</v>
      </c>
      <c r="E447" s="35" t="s">
        <v>13</v>
      </c>
      <c r="F447" s="297">
        <f>F448</f>
        <v>10000</v>
      </c>
      <c r="G447" s="12"/>
      <c r="H447" s="13"/>
    </row>
    <row r="448" spans="1:8" ht="15.75" customHeight="1" x14ac:dyDescent="0.2">
      <c r="A448" s="20" t="s">
        <v>335</v>
      </c>
      <c r="B448" s="21" t="s">
        <v>54</v>
      </c>
      <c r="C448" s="21" t="s">
        <v>336</v>
      </c>
      <c r="D448" s="22" t="s">
        <v>13</v>
      </c>
      <c r="E448" s="21" t="s">
        <v>13</v>
      </c>
      <c r="F448" s="294">
        <f>F449+F453</f>
        <v>10000</v>
      </c>
      <c r="G448" s="12"/>
      <c r="H448" s="13"/>
    </row>
    <row r="449" spans="1:8" ht="50.25" customHeight="1" x14ac:dyDescent="0.2">
      <c r="A449" s="20" t="s">
        <v>337</v>
      </c>
      <c r="B449" s="21" t="s">
        <v>54</v>
      </c>
      <c r="C449" s="21" t="s">
        <v>336</v>
      </c>
      <c r="D449" s="22" t="s">
        <v>338</v>
      </c>
      <c r="E449" s="21" t="s">
        <v>13</v>
      </c>
      <c r="F449" s="294">
        <f>F450</f>
        <v>0</v>
      </c>
      <c r="G449" s="12"/>
      <c r="H449" s="13"/>
    </row>
    <row r="450" spans="1:8" ht="31.5" customHeight="1" x14ac:dyDescent="0.2">
      <c r="A450" s="20" t="s">
        <v>339</v>
      </c>
      <c r="B450" s="21" t="s">
        <v>54</v>
      </c>
      <c r="C450" s="21" t="s">
        <v>336</v>
      </c>
      <c r="D450" s="22" t="s">
        <v>340</v>
      </c>
      <c r="E450" s="21" t="s">
        <v>13</v>
      </c>
      <c r="F450" s="294">
        <f>SUM(F451)</f>
        <v>0</v>
      </c>
      <c r="G450" s="12"/>
      <c r="H450" s="13"/>
    </row>
    <row r="451" spans="1:8" ht="31.5" customHeight="1" x14ac:dyDescent="0.2">
      <c r="A451" s="20" t="s">
        <v>82</v>
      </c>
      <c r="B451" s="21" t="s">
        <v>54</v>
      </c>
      <c r="C451" s="21" t="s">
        <v>336</v>
      </c>
      <c r="D451" s="22" t="s">
        <v>341</v>
      </c>
      <c r="E451" s="21"/>
      <c r="F451" s="294">
        <f>F452</f>
        <v>0</v>
      </c>
      <c r="G451" s="25"/>
      <c r="H451" s="13"/>
    </row>
    <row r="452" spans="1:8" ht="31.5" customHeight="1" x14ac:dyDescent="0.2">
      <c r="A452" s="14" t="s">
        <v>43</v>
      </c>
      <c r="B452" s="21" t="s">
        <v>54</v>
      </c>
      <c r="C452" s="21" t="s">
        <v>336</v>
      </c>
      <c r="D452" s="22" t="s">
        <v>341</v>
      </c>
      <c r="E452" s="21">
        <v>240</v>
      </c>
      <c r="F452" s="294">
        <f>30+270.6-270.6-30</f>
        <v>0</v>
      </c>
      <c r="G452" s="117"/>
      <c r="H452" s="13"/>
    </row>
    <row r="453" spans="1:8" ht="31.5" customHeight="1" x14ac:dyDescent="0.2">
      <c r="A453" s="105" t="s">
        <v>1005</v>
      </c>
      <c r="B453" s="95" t="s">
        <v>54</v>
      </c>
      <c r="C453" s="95" t="s">
        <v>336</v>
      </c>
      <c r="D453" s="8" t="s">
        <v>342</v>
      </c>
      <c r="E453" s="95" t="s">
        <v>13</v>
      </c>
      <c r="F453" s="294">
        <f>F454</f>
        <v>10000</v>
      </c>
      <c r="G453" s="117"/>
      <c r="H453" s="13"/>
    </row>
    <row r="454" spans="1:8" ht="31.5" customHeight="1" x14ac:dyDescent="0.2">
      <c r="A454" s="97" t="s">
        <v>343</v>
      </c>
      <c r="B454" s="95" t="s">
        <v>54</v>
      </c>
      <c r="C454" s="95" t="s">
        <v>336</v>
      </c>
      <c r="D454" s="8" t="s">
        <v>344</v>
      </c>
      <c r="E454" s="95" t="s">
        <v>13</v>
      </c>
      <c r="F454" s="294">
        <f>F455</f>
        <v>10000</v>
      </c>
      <c r="G454" s="117"/>
      <c r="H454" s="13"/>
    </row>
    <row r="455" spans="1:8" ht="31.5" customHeight="1" x14ac:dyDescent="0.2">
      <c r="A455" s="97" t="s">
        <v>234</v>
      </c>
      <c r="B455" s="95" t="s">
        <v>54</v>
      </c>
      <c r="C455" s="95" t="s">
        <v>336</v>
      </c>
      <c r="D455" s="8" t="s">
        <v>1006</v>
      </c>
      <c r="E455" s="95"/>
      <c r="F455" s="294">
        <f>F456</f>
        <v>10000</v>
      </c>
      <c r="G455" s="117"/>
      <c r="H455" s="13"/>
    </row>
    <row r="456" spans="1:8" ht="31.5" customHeight="1" x14ac:dyDescent="0.2">
      <c r="A456" s="97" t="s">
        <v>221</v>
      </c>
      <c r="B456" s="95" t="s">
        <v>54</v>
      </c>
      <c r="C456" s="95" t="s">
        <v>336</v>
      </c>
      <c r="D456" s="8" t="s">
        <v>1006</v>
      </c>
      <c r="E456" s="95">
        <v>414</v>
      </c>
      <c r="F456" s="294">
        <v>10000</v>
      </c>
      <c r="G456" s="117"/>
      <c r="H456" s="13"/>
    </row>
    <row r="457" spans="1:8" ht="15.75" customHeight="1" x14ac:dyDescent="0.2">
      <c r="A457" s="34" t="s">
        <v>345</v>
      </c>
      <c r="B457" s="35" t="s">
        <v>54</v>
      </c>
      <c r="C457" s="35" t="s">
        <v>346</v>
      </c>
      <c r="D457" s="22" t="s">
        <v>13</v>
      </c>
      <c r="E457" s="21" t="s">
        <v>13</v>
      </c>
      <c r="F457" s="297">
        <f>F458+F473+F491+F497</f>
        <v>1416258.8</v>
      </c>
      <c r="G457" s="263"/>
      <c r="H457" s="13"/>
    </row>
    <row r="458" spans="1:8" ht="15.75" customHeight="1" x14ac:dyDescent="0.2">
      <c r="A458" s="20" t="s">
        <v>347</v>
      </c>
      <c r="B458" s="21" t="s">
        <v>54</v>
      </c>
      <c r="C458" s="21" t="s">
        <v>348</v>
      </c>
      <c r="D458" s="22" t="s">
        <v>13</v>
      </c>
      <c r="E458" s="21" t="s">
        <v>13</v>
      </c>
      <c r="F458" s="294">
        <f>F459</f>
        <v>95781.799999999988</v>
      </c>
      <c r="G458" s="263"/>
      <c r="H458" s="13"/>
    </row>
    <row r="459" spans="1:8" ht="31.5" customHeight="1" x14ac:dyDescent="0.2">
      <c r="A459" s="20" t="s">
        <v>349</v>
      </c>
      <c r="B459" s="21" t="s">
        <v>54</v>
      </c>
      <c r="C459" s="21" t="s">
        <v>348</v>
      </c>
      <c r="D459" s="22" t="s">
        <v>350</v>
      </c>
      <c r="E459" s="21" t="s">
        <v>13</v>
      </c>
      <c r="F459" s="294">
        <f>F460</f>
        <v>95781.799999999988</v>
      </c>
      <c r="G459" s="263"/>
      <c r="H459" s="13"/>
    </row>
    <row r="460" spans="1:8" ht="31.5" customHeight="1" x14ac:dyDescent="0.2">
      <c r="A460" s="20" t="s">
        <v>780</v>
      </c>
      <c r="B460" s="21" t="s">
        <v>54</v>
      </c>
      <c r="C460" s="21" t="s">
        <v>348</v>
      </c>
      <c r="D460" s="22" t="s">
        <v>355</v>
      </c>
      <c r="E460" s="21" t="s">
        <v>13</v>
      </c>
      <c r="F460" s="294">
        <f>F468+F461</f>
        <v>95781.799999999988</v>
      </c>
      <c r="G460" s="263"/>
      <c r="H460" s="13"/>
    </row>
    <row r="461" spans="1:8" ht="45.75" customHeight="1" x14ac:dyDescent="0.2">
      <c r="A461" s="20" t="s">
        <v>1023</v>
      </c>
      <c r="B461" s="21">
        <v>902</v>
      </c>
      <c r="C461" s="21" t="s">
        <v>348</v>
      </c>
      <c r="D461" s="22" t="s">
        <v>1024</v>
      </c>
      <c r="E461" s="21"/>
      <c r="F461" s="294">
        <f>F462+F464+F466</f>
        <v>61759.199999999997</v>
      </c>
      <c r="G461" s="263"/>
      <c r="H461" s="13"/>
    </row>
    <row r="462" spans="1:8" ht="46.5" customHeight="1" x14ac:dyDescent="0.2">
      <c r="A462" s="20" t="s">
        <v>839</v>
      </c>
      <c r="B462" s="21">
        <v>902</v>
      </c>
      <c r="C462" s="21" t="s">
        <v>348</v>
      </c>
      <c r="D462" s="22" t="s">
        <v>1072</v>
      </c>
      <c r="E462" s="21"/>
      <c r="F462" s="294">
        <v>42420</v>
      </c>
      <c r="G462" s="263"/>
      <c r="H462" s="13"/>
    </row>
    <row r="463" spans="1:8" ht="46.5" customHeight="1" x14ac:dyDescent="0.2">
      <c r="A463" s="20" t="s">
        <v>292</v>
      </c>
      <c r="B463" s="21">
        <v>902</v>
      </c>
      <c r="C463" s="21" t="s">
        <v>348</v>
      </c>
      <c r="D463" s="22" t="s">
        <v>1072</v>
      </c>
      <c r="E463" s="21">
        <v>412</v>
      </c>
      <c r="F463" s="294">
        <v>42420</v>
      </c>
      <c r="G463" s="263"/>
      <c r="H463" s="13"/>
    </row>
    <row r="464" spans="1:8" ht="46.5" customHeight="1" x14ac:dyDescent="0.2">
      <c r="A464" s="20" t="s">
        <v>247</v>
      </c>
      <c r="B464" s="21">
        <v>902</v>
      </c>
      <c r="C464" s="21" t="s">
        <v>348</v>
      </c>
      <c r="D464" s="22" t="s">
        <v>1025</v>
      </c>
      <c r="E464" s="21"/>
      <c r="F464" s="294">
        <f>F465</f>
        <v>18180</v>
      </c>
      <c r="G464" s="263"/>
      <c r="H464" s="13"/>
    </row>
    <row r="465" spans="1:8" ht="36.75" customHeight="1" x14ac:dyDescent="0.2">
      <c r="A465" s="20" t="s">
        <v>292</v>
      </c>
      <c r="B465" s="21">
        <v>902</v>
      </c>
      <c r="C465" s="21" t="s">
        <v>348</v>
      </c>
      <c r="D465" s="22" t="s">
        <v>1025</v>
      </c>
      <c r="E465" s="21">
        <v>412</v>
      </c>
      <c r="F465" s="294">
        <v>18180</v>
      </c>
      <c r="G465" s="263"/>
      <c r="H465" s="13"/>
    </row>
    <row r="466" spans="1:8" ht="36.75" customHeight="1" x14ac:dyDescent="0.2">
      <c r="A466" s="20" t="s">
        <v>247</v>
      </c>
      <c r="B466" s="21">
        <v>902</v>
      </c>
      <c r="C466" s="21" t="s">
        <v>348</v>
      </c>
      <c r="D466" s="22" t="s">
        <v>1025</v>
      </c>
      <c r="E466" s="21"/>
      <c r="F466" s="294">
        <f>F467</f>
        <v>1159.2</v>
      </c>
      <c r="G466" s="263"/>
      <c r="H466" s="13"/>
    </row>
    <row r="467" spans="1:8" ht="36.75" customHeight="1" x14ac:dyDescent="0.2">
      <c r="A467" s="20" t="s">
        <v>221</v>
      </c>
      <c r="B467" s="21">
        <v>902</v>
      </c>
      <c r="C467" s="21" t="s">
        <v>348</v>
      </c>
      <c r="D467" s="22" t="s">
        <v>1025</v>
      </c>
      <c r="E467" s="21">
        <v>414</v>
      </c>
      <c r="F467" s="294">
        <v>1159.2</v>
      </c>
      <c r="G467" s="263"/>
      <c r="H467" s="13"/>
    </row>
    <row r="468" spans="1:8" ht="15.75" customHeight="1" x14ac:dyDescent="0.2">
      <c r="A468" s="20" t="s">
        <v>357</v>
      </c>
      <c r="B468" s="21" t="s">
        <v>54</v>
      </c>
      <c r="C468" s="21" t="s">
        <v>348</v>
      </c>
      <c r="D468" s="22" t="s">
        <v>358</v>
      </c>
      <c r="E468" s="21"/>
      <c r="F468" s="294">
        <f>F469+F471</f>
        <v>34022.6</v>
      </c>
      <c r="G468" s="12"/>
      <c r="H468" s="13"/>
    </row>
    <row r="469" spans="1:8" ht="31.5" customHeight="1" x14ac:dyDescent="0.2">
      <c r="A469" s="20" t="s">
        <v>82</v>
      </c>
      <c r="B469" s="21" t="s">
        <v>54</v>
      </c>
      <c r="C469" s="21" t="s">
        <v>348</v>
      </c>
      <c r="D469" s="22" t="s">
        <v>359</v>
      </c>
      <c r="E469" s="21"/>
      <c r="F469" s="294">
        <f>F470</f>
        <v>17000</v>
      </c>
      <c r="G469" s="54"/>
      <c r="H469" s="13"/>
    </row>
    <row r="470" spans="1:8" ht="31.5" customHeight="1" x14ac:dyDescent="0.2">
      <c r="A470" s="14" t="s">
        <v>43</v>
      </c>
      <c r="B470" s="21" t="s">
        <v>54</v>
      </c>
      <c r="C470" s="21" t="s">
        <v>348</v>
      </c>
      <c r="D470" s="22" t="s">
        <v>359</v>
      </c>
      <c r="E470" s="21">
        <v>240</v>
      </c>
      <c r="F470" s="294">
        <v>17000</v>
      </c>
      <c r="G470" s="55"/>
      <c r="H470" s="13"/>
    </row>
    <row r="471" spans="1:8" ht="51" customHeight="1" x14ac:dyDescent="0.2">
      <c r="A471" s="14" t="s">
        <v>356</v>
      </c>
      <c r="B471" s="21" t="s">
        <v>54</v>
      </c>
      <c r="C471" s="7" t="s">
        <v>348</v>
      </c>
      <c r="D471" s="8" t="s">
        <v>929</v>
      </c>
      <c r="E471" s="7"/>
      <c r="F471" s="294">
        <f>F472</f>
        <v>17022.599999999999</v>
      </c>
      <c r="G471" s="55"/>
      <c r="H471" s="13"/>
    </row>
    <row r="472" spans="1:8" ht="31.5" customHeight="1" x14ac:dyDescent="0.2">
      <c r="A472" s="14" t="s">
        <v>43</v>
      </c>
      <c r="B472" s="21" t="s">
        <v>54</v>
      </c>
      <c r="C472" s="7" t="s">
        <v>348</v>
      </c>
      <c r="D472" s="8" t="s">
        <v>929</v>
      </c>
      <c r="E472" s="7">
        <v>240</v>
      </c>
      <c r="F472" s="294">
        <v>17022.599999999999</v>
      </c>
      <c r="G472" s="55"/>
      <c r="H472" s="13"/>
    </row>
    <row r="473" spans="1:8" ht="15.75" customHeight="1" x14ac:dyDescent="0.2">
      <c r="A473" s="20" t="s">
        <v>360</v>
      </c>
      <c r="B473" s="21" t="s">
        <v>54</v>
      </c>
      <c r="C473" s="21" t="s">
        <v>361</v>
      </c>
      <c r="D473" s="22" t="s">
        <v>13</v>
      </c>
      <c r="E473" s="21" t="s">
        <v>13</v>
      </c>
      <c r="F473" s="294">
        <f>F474</f>
        <v>1308097.7</v>
      </c>
      <c r="G473" s="12"/>
      <c r="H473" s="13"/>
    </row>
    <row r="474" spans="1:8" ht="31.5" customHeight="1" x14ac:dyDescent="0.2">
      <c r="A474" s="20" t="s">
        <v>349</v>
      </c>
      <c r="B474" s="21" t="s">
        <v>54</v>
      </c>
      <c r="C474" s="21" t="s">
        <v>361</v>
      </c>
      <c r="D474" s="22" t="s">
        <v>350</v>
      </c>
      <c r="E474" s="21" t="s">
        <v>13</v>
      </c>
      <c r="F474" s="294">
        <f>F475</f>
        <v>1308097.7</v>
      </c>
      <c r="G474" s="12"/>
      <c r="H474" s="13"/>
    </row>
    <row r="475" spans="1:8" ht="31.5" customHeight="1" x14ac:dyDescent="0.2">
      <c r="A475" s="20" t="s">
        <v>780</v>
      </c>
      <c r="B475" s="21" t="s">
        <v>54</v>
      </c>
      <c r="C475" s="21" t="s">
        <v>361</v>
      </c>
      <c r="D475" s="22" t="s">
        <v>355</v>
      </c>
      <c r="E475" s="21" t="s">
        <v>13</v>
      </c>
      <c r="F475" s="294">
        <f>F476+F483+F488</f>
        <v>1308097.7</v>
      </c>
      <c r="G475" s="12"/>
      <c r="H475" s="13"/>
    </row>
    <row r="476" spans="1:8" ht="15.75" customHeight="1" x14ac:dyDescent="0.2">
      <c r="A476" s="24" t="s">
        <v>362</v>
      </c>
      <c r="B476" s="21" t="s">
        <v>54</v>
      </c>
      <c r="C476" s="21" t="s">
        <v>361</v>
      </c>
      <c r="D476" s="22" t="s">
        <v>363</v>
      </c>
      <c r="E476" s="21" t="s">
        <v>13</v>
      </c>
      <c r="F476" s="294">
        <f>F481+F479+F477</f>
        <v>1149623.3</v>
      </c>
      <c r="G476" s="12"/>
      <c r="H476" s="13"/>
    </row>
    <row r="477" spans="1:8" ht="15.75" customHeight="1" x14ac:dyDescent="0.2">
      <c r="A477" s="24" t="s">
        <v>1112</v>
      </c>
      <c r="B477" s="21" t="s">
        <v>54</v>
      </c>
      <c r="C477" s="21" t="s">
        <v>361</v>
      </c>
      <c r="D477" s="22" t="s">
        <v>1017</v>
      </c>
      <c r="E477" s="21"/>
      <c r="F477" s="294">
        <f>F478</f>
        <v>5000</v>
      </c>
      <c r="G477" s="12"/>
      <c r="H477" s="13"/>
    </row>
    <row r="478" spans="1:8" ht="15.75" customHeight="1" x14ac:dyDescent="0.2">
      <c r="A478" s="24" t="s">
        <v>221</v>
      </c>
      <c r="B478" s="21" t="s">
        <v>54</v>
      </c>
      <c r="C478" s="21" t="s">
        <v>361</v>
      </c>
      <c r="D478" s="22" t="s">
        <v>1017</v>
      </c>
      <c r="E478" s="21">
        <v>414</v>
      </c>
      <c r="F478" s="294">
        <v>5000</v>
      </c>
      <c r="G478" s="12"/>
      <c r="H478" s="13"/>
    </row>
    <row r="479" spans="1:8" ht="31.5" x14ac:dyDescent="0.2">
      <c r="A479" s="14" t="s">
        <v>839</v>
      </c>
      <c r="B479" s="21" t="s">
        <v>54</v>
      </c>
      <c r="C479" s="21" t="s">
        <v>361</v>
      </c>
      <c r="D479" s="22" t="s">
        <v>838</v>
      </c>
      <c r="E479" s="21"/>
      <c r="F479" s="294">
        <f>F480</f>
        <v>801070.4</v>
      </c>
      <c r="G479" s="12"/>
      <c r="H479" s="13"/>
    </row>
    <row r="480" spans="1:8" ht="31.5" x14ac:dyDescent="0.2">
      <c r="A480" s="14" t="s">
        <v>221</v>
      </c>
      <c r="B480" s="21" t="s">
        <v>54</v>
      </c>
      <c r="C480" s="21" t="s">
        <v>361</v>
      </c>
      <c r="D480" s="22" t="s">
        <v>838</v>
      </c>
      <c r="E480" s="21">
        <v>414</v>
      </c>
      <c r="F480" s="294">
        <v>801070.4</v>
      </c>
      <c r="G480" s="12"/>
      <c r="H480" s="13"/>
    </row>
    <row r="481" spans="1:8" ht="50.25" customHeight="1" x14ac:dyDescent="0.2">
      <c r="A481" s="20" t="s">
        <v>247</v>
      </c>
      <c r="B481" s="21" t="s">
        <v>54</v>
      </c>
      <c r="C481" s="21" t="s">
        <v>361</v>
      </c>
      <c r="D481" s="22" t="s">
        <v>364</v>
      </c>
      <c r="E481" s="21"/>
      <c r="F481" s="294">
        <f>F482</f>
        <v>343552.9</v>
      </c>
      <c r="G481" s="263"/>
      <c r="H481" s="13"/>
    </row>
    <row r="482" spans="1:8" ht="31.5" customHeight="1" x14ac:dyDescent="0.2">
      <c r="A482" s="20" t="s">
        <v>221</v>
      </c>
      <c r="B482" s="21" t="s">
        <v>54</v>
      </c>
      <c r="C482" s="21" t="s">
        <v>361</v>
      </c>
      <c r="D482" s="22" t="s">
        <v>364</v>
      </c>
      <c r="E482" s="21">
        <v>414</v>
      </c>
      <c r="F482" s="294">
        <f>343315.9+237</f>
        <v>343552.9</v>
      </c>
      <c r="G482" s="263"/>
      <c r="H482" s="13"/>
    </row>
    <row r="483" spans="1:8" ht="15.75" customHeight="1" x14ac:dyDescent="0.2">
      <c r="A483" s="20" t="s">
        <v>784</v>
      </c>
      <c r="B483" s="21" t="s">
        <v>54</v>
      </c>
      <c r="C483" s="21" t="s">
        <v>361</v>
      </c>
      <c r="D483" s="22" t="s">
        <v>783</v>
      </c>
      <c r="E483" s="21"/>
      <c r="F483" s="294">
        <f>F486+F484</f>
        <v>89745.400000000009</v>
      </c>
      <c r="G483" s="263"/>
      <c r="H483" s="13"/>
    </row>
    <row r="484" spans="1:8" ht="15.75" customHeight="1" x14ac:dyDescent="0.2">
      <c r="A484" s="20" t="s">
        <v>1112</v>
      </c>
      <c r="B484" s="21" t="s">
        <v>54</v>
      </c>
      <c r="C484" s="21" t="s">
        <v>361</v>
      </c>
      <c r="D484" s="22" t="s">
        <v>1113</v>
      </c>
      <c r="E484" s="21"/>
      <c r="F484" s="294">
        <f>F485</f>
        <v>48830.1</v>
      </c>
      <c r="G484" s="263"/>
      <c r="H484" s="13"/>
    </row>
    <row r="485" spans="1:8" ht="15.75" customHeight="1" x14ac:dyDescent="0.2">
      <c r="A485" s="20" t="s">
        <v>221</v>
      </c>
      <c r="B485" s="21" t="s">
        <v>54</v>
      </c>
      <c r="C485" s="21" t="s">
        <v>361</v>
      </c>
      <c r="D485" s="22" t="s">
        <v>1113</v>
      </c>
      <c r="E485" s="21">
        <v>414</v>
      </c>
      <c r="F485" s="294">
        <v>48830.1</v>
      </c>
      <c r="G485" s="263"/>
      <c r="H485" s="13"/>
    </row>
    <row r="486" spans="1:8" ht="34.5" customHeight="1" x14ac:dyDescent="0.2">
      <c r="A486" s="14" t="s">
        <v>247</v>
      </c>
      <c r="B486" s="7" t="s">
        <v>54</v>
      </c>
      <c r="C486" s="7" t="s">
        <v>361</v>
      </c>
      <c r="D486" s="8" t="s">
        <v>812</v>
      </c>
      <c r="E486" s="21"/>
      <c r="F486" s="330">
        <f>F487</f>
        <v>40915.30000000001</v>
      </c>
      <c r="G486" s="263"/>
      <c r="H486" s="13"/>
    </row>
    <row r="487" spans="1:8" ht="31.5" customHeight="1" x14ac:dyDescent="0.2">
      <c r="A487" s="20" t="s">
        <v>221</v>
      </c>
      <c r="B487" s="7" t="s">
        <v>54</v>
      </c>
      <c r="C487" s="7" t="s">
        <v>361</v>
      </c>
      <c r="D487" s="8" t="s">
        <v>812</v>
      </c>
      <c r="E487" s="21">
        <v>414</v>
      </c>
      <c r="F487" s="294">
        <f>37505.8-261.1-2377.7+6048.3</f>
        <v>40915.30000000001</v>
      </c>
      <c r="G487" s="263"/>
      <c r="H487" s="13"/>
    </row>
    <row r="488" spans="1:8" ht="15.75" customHeight="1" x14ac:dyDescent="0.2">
      <c r="A488" s="20" t="s">
        <v>365</v>
      </c>
      <c r="B488" s="21" t="s">
        <v>54</v>
      </c>
      <c r="C488" s="21" t="s">
        <v>361</v>
      </c>
      <c r="D488" s="22" t="s">
        <v>366</v>
      </c>
      <c r="E488" s="21"/>
      <c r="F488" s="294">
        <f>F489</f>
        <v>68729</v>
      </c>
      <c r="G488" s="263"/>
      <c r="H488" s="13"/>
    </row>
    <row r="489" spans="1:8" ht="48" customHeight="1" x14ac:dyDescent="0.2">
      <c r="A489" s="24" t="s">
        <v>356</v>
      </c>
      <c r="B489" s="21" t="s">
        <v>54</v>
      </c>
      <c r="C489" s="21" t="s">
        <v>361</v>
      </c>
      <c r="D489" s="22" t="s">
        <v>367</v>
      </c>
      <c r="E489" s="21"/>
      <c r="F489" s="294">
        <f>F490</f>
        <v>68729</v>
      </c>
      <c r="G489" s="263"/>
      <c r="H489" s="13"/>
    </row>
    <row r="490" spans="1:8" ht="31.5" customHeight="1" x14ac:dyDescent="0.2">
      <c r="A490" s="14" t="s">
        <v>43</v>
      </c>
      <c r="B490" s="21" t="s">
        <v>54</v>
      </c>
      <c r="C490" s="21" t="s">
        <v>361</v>
      </c>
      <c r="D490" s="22" t="s">
        <v>367</v>
      </c>
      <c r="E490" s="21">
        <v>240</v>
      </c>
      <c r="F490" s="294">
        <f>30000+38729</f>
        <v>68729</v>
      </c>
      <c r="G490" s="263"/>
      <c r="H490" s="13"/>
    </row>
    <row r="491" spans="1:8" ht="15.75" customHeight="1" x14ac:dyDescent="0.2">
      <c r="A491" s="14" t="s">
        <v>792</v>
      </c>
      <c r="B491" s="21" t="s">
        <v>54</v>
      </c>
      <c r="C491" s="22" t="s">
        <v>793</v>
      </c>
      <c r="D491" s="22"/>
      <c r="E491" s="21"/>
      <c r="F491" s="294">
        <f>F492</f>
        <v>12147.3</v>
      </c>
      <c r="G491" s="263"/>
      <c r="H491" s="13"/>
    </row>
    <row r="492" spans="1:8" ht="31.5" customHeight="1" x14ac:dyDescent="0.2">
      <c r="A492" s="14" t="s">
        <v>349</v>
      </c>
      <c r="B492" s="21" t="s">
        <v>54</v>
      </c>
      <c r="C492" s="22" t="s">
        <v>793</v>
      </c>
      <c r="D492" s="22" t="s">
        <v>350</v>
      </c>
      <c r="E492" s="21"/>
      <c r="F492" s="294">
        <f>F493</f>
        <v>12147.3</v>
      </c>
      <c r="G492" s="263"/>
      <c r="H492" s="13"/>
    </row>
    <row r="493" spans="1:8" ht="31.5" customHeight="1" x14ac:dyDescent="0.2">
      <c r="A493" s="14" t="s">
        <v>780</v>
      </c>
      <c r="B493" s="21" t="s">
        <v>54</v>
      </c>
      <c r="C493" s="22" t="s">
        <v>793</v>
      </c>
      <c r="D493" s="22" t="s">
        <v>355</v>
      </c>
      <c r="E493" s="21"/>
      <c r="F493" s="294">
        <f>F494</f>
        <v>12147.3</v>
      </c>
      <c r="G493" s="263"/>
      <c r="H493" s="13"/>
    </row>
    <row r="494" spans="1:8" ht="15.75" customHeight="1" x14ac:dyDescent="0.2">
      <c r="A494" s="88" t="s">
        <v>362</v>
      </c>
      <c r="B494" s="21" t="s">
        <v>54</v>
      </c>
      <c r="C494" s="22" t="s">
        <v>793</v>
      </c>
      <c r="D494" s="22" t="s">
        <v>363</v>
      </c>
      <c r="E494" s="21"/>
      <c r="F494" s="294">
        <f>F495</f>
        <v>12147.3</v>
      </c>
      <c r="G494" s="263"/>
      <c r="H494" s="13"/>
    </row>
    <row r="495" spans="1:8" ht="34.5" customHeight="1" x14ac:dyDescent="0.2">
      <c r="A495" s="105" t="s">
        <v>234</v>
      </c>
      <c r="B495" s="21" t="s">
        <v>54</v>
      </c>
      <c r="C495" s="22" t="s">
        <v>793</v>
      </c>
      <c r="D495" s="22" t="s">
        <v>1017</v>
      </c>
      <c r="E495" s="21"/>
      <c r="F495" s="294">
        <f>F496</f>
        <v>12147.3</v>
      </c>
      <c r="G495" s="263"/>
      <c r="H495" s="13"/>
    </row>
    <row r="496" spans="1:8" ht="31.5" customHeight="1" x14ac:dyDescent="0.2">
      <c r="A496" s="20" t="s">
        <v>221</v>
      </c>
      <c r="B496" s="21" t="s">
        <v>54</v>
      </c>
      <c r="C496" s="22" t="s">
        <v>793</v>
      </c>
      <c r="D496" s="22" t="s">
        <v>1017</v>
      </c>
      <c r="E496" s="21">
        <v>414</v>
      </c>
      <c r="F496" s="294">
        <f>10000+2147.3</f>
        <v>12147.3</v>
      </c>
      <c r="G496" s="263"/>
      <c r="H496" s="13"/>
    </row>
    <row r="497" spans="1:8" ht="31.5" x14ac:dyDescent="0.2">
      <c r="A497" s="20" t="s">
        <v>1081</v>
      </c>
      <c r="B497" s="21" t="s">
        <v>54</v>
      </c>
      <c r="C497" s="22" t="s">
        <v>1080</v>
      </c>
      <c r="D497" s="22"/>
      <c r="E497" s="21"/>
      <c r="F497" s="294">
        <f>F498+F502</f>
        <v>232</v>
      </c>
      <c r="G497" s="12"/>
      <c r="H497" s="13"/>
    </row>
    <row r="498" spans="1:8" ht="57.75" customHeight="1" x14ac:dyDescent="0.2">
      <c r="A498" s="20" t="s">
        <v>75</v>
      </c>
      <c r="B498" s="21" t="s">
        <v>54</v>
      </c>
      <c r="C498" s="22" t="s">
        <v>1080</v>
      </c>
      <c r="D498" s="22" t="s">
        <v>76</v>
      </c>
      <c r="E498" s="21" t="s">
        <v>13</v>
      </c>
      <c r="F498" s="294">
        <f>F499</f>
        <v>200</v>
      </c>
      <c r="G498" s="12"/>
      <c r="H498" s="13"/>
    </row>
    <row r="499" spans="1:8" ht="22.5" customHeight="1" x14ac:dyDescent="0.2">
      <c r="A499" s="20" t="s">
        <v>77</v>
      </c>
      <c r="B499" s="21" t="s">
        <v>54</v>
      </c>
      <c r="C499" s="22" t="s">
        <v>1080</v>
      </c>
      <c r="D499" s="22" t="s">
        <v>78</v>
      </c>
      <c r="E499" s="21" t="s">
        <v>13</v>
      </c>
      <c r="F499" s="294">
        <f>F500</f>
        <v>200</v>
      </c>
      <c r="G499" s="23"/>
      <c r="H499" s="13"/>
    </row>
    <row r="500" spans="1:8" ht="33" customHeight="1" x14ac:dyDescent="0.2">
      <c r="A500" s="24" t="s">
        <v>80</v>
      </c>
      <c r="B500" s="21" t="s">
        <v>54</v>
      </c>
      <c r="C500" s="22" t="s">
        <v>1080</v>
      </c>
      <c r="D500" s="22" t="s">
        <v>81</v>
      </c>
      <c r="E500" s="21"/>
      <c r="F500" s="294">
        <f>F501</f>
        <v>200</v>
      </c>
      <c r="G500" s="17"/>
      <c r="H500" s="13"/>
    </row>
    <row r="501" spans="1:8" ht="38.25" customHeight="1" x14ac:dyDescent="0.2">
      <c r="A501" s="14" t="s">
        <v>43</v>
      </c>
      <c r="B501" s="21" t="s">
        <v>54</v>
      </c>
      <c r="C501" s="22" t="s">
        <v>1080</v>
      </c>
      <c r="D501" s="22" t="s">
        <v>81</v>
      </c>
      <c r="E501" s="21">
        <v>240</v>
      </c>
      <c r="F501" s="294">
        <f>200</f>
        <v>200</v>
      </c>
      <c r="G501" s="17"/>
      <c r="H501" s="13"/>
    </row>
    <row r="502" spans="1:8" ht="63" customHeight="1" x14ac:dyDescent="0.2">
      <c r="A502" s="20" t="s">
        <v>92</v>
      </c>
      <c r="B502" s="21" t="s">
        <v>54</v>
      </c>
      <c r="C502" s="22" t="s">
        <v>1080</v>
      </c>
      <c r="D502" s="22" t="s">
        <v>93</v>
      </c>
      <c r="E502" s="21" t="s">
        <v>13</v>
      </c>
      <c r="F502" s="294">
        <f>F503</f>
        <v>32</v>
      </c>
      <c r="G502" s="12"/>
      <c r="H502" s="13"/>
    </row>
    <row r="503" spans="1:8" ht="31.5" customHeight="1" x14ac:dyDescent="0.2">
      <c r="A503" s="20" t="s">
        <v>94</v>
      </c>
      <c r="B503" s="21" t="s">
        <v>54</v>
      </c>
      <c r="C503" s="22" t="s">
        <v>1080</v>
      </c>
      <c r="D503" s="22" t="s">
        <v>95</v>
      </c>
      <c r="E503" s="21" t="s">
        <v>13</v>
      </c>
      <c r="F503" s="294">
        <f>F504</f>
        <v>32</v>
      </c>
      <c r="G503" s="12"/>
      <c r="H503" s="13"/>
    </row>
    <row r="504" spans="1:8" ht="34.5" customHeight="1" x14ac:dyDescent="0.2">
      <c r="A504" s="20" t="s">
        <v>99</v>
      </c>
      <c r="B504" s="21" t="s">
        <v>54</v>
      </c>
      <c r="C504" s="22" t="s">
        <v>1080</v>
      </c>
      <c r="D504" s="22" t="s">
        <v>100</v>
      </c>
      <c r="E504" s="21" t="s">
        <v>13</v>
      </c>
      <c r="F504" s="294">
        <f>F505</f>
        <v>32</v>
      </c>
      <c r="G504" s="12"/>
      <c r="H504" s="13"/>
    </row>
    <row r="505" spans="1:8" ht="31.5" customHeight="1" x14ac:dyDescent="0.2">
      <c r="A505" s="24" t="s">
        <v>80</v>
      </c>
      <c r="B505" s="21" t="s">
        <v>54</v>
      </c>
      <c r="C505" s="22" t="s">
        <v>1080</v>
      </c>
      <c r="D505" s="22" t="s">
        <v>101</v>
      </c>
      <c r="E505" s="21"/>
      <c r="F505" s="294">
        <f>F506</f>
        <v>32</v>
      </c>
      <c r="G505" s="12"/>
      <c r="H505" s="13"/>
    </row>
    <row r="506" spans="1:8" ht="31.5" customHeight="1" x14ac:dyDescent="0.2">
      <c r="A506" s="14" t="s">
        <v>43</v>
      </c>
      <c r="B506" s="21" t="s">
        <v>54</v>
      </c>
      <c r="C506" s="22" t="s">
        <v>1080</v>
      </c>
      <c r="D506" s="22" t="s">
        <v>101</v>
      </c>
      <c r="E506" s="21">
        <v>240</v>
      </c>
      <c r="F506" s="294">
        <f>32</f>
        <v>32</v>
      </c>
      <c r="G506" s="17"/>
      <c r="H506" s="13"/>
    </row>
    <row r="507" spans="1:8" ht="15.75" customHeight="1" x14ac:dyDescent="0.2">
      <c r="A507" s="34" t="s">
        <v>396</v>
      </c>
      <c r="B507" s="35" t="s">
        <v>54</v>
      </c>
      <c r="C507" s="35" t="s">
        <v>397</v>
      </c>
      <c r="D507" s="36" t="s">
        <v>13</v>
      </c>
      <c r="E507" s="35" t="s">
        <v>13</v>
      </c>
      <c r="F507" s="296">
        <f>F508+F513+F608+F618</f>
        <v>729599.79999999993</v>
      </c>
      <c r="G507" s="12"/>
      <c r="H507" s="13"/>
    </row>
    <row r="508" spans="1:8" ht="15.75" customHeight="1" x14ac:dyDescent="0.2">
      <c r="A508" s="20" t="s">
        <v>398</v>
      </c>
      <c r="B508" s="21" t="s">
        <v>54</v>
      </c>
      <c r="C508" s="21" t="s">
        <v>399</v>
      </c>
      <c r="D508" s="22" t="s">
        <v>13</v>
      </c>
      <c r="E508" s="21" t="s">
        <v>13</v>
      </c>
      <c r="F508" s="208">
        <f>F509</f>
        <v>63550</v>
      </c>
      <c r="G508" s="12"/>
      <c r="H508" s="13"/>
    </row>
    <row r="509" spans="1:8" ht="31.5" customHeight="1" x14ac:dyDescent="0.2">
      <c r="A509" s="20" t="s">
        <v>102</v>
      </c>
      <c r="B509" s="21" t="s">
        <v>54</v>
      </c>
      <c r="C509" s="21" t="s">
        <v>399</v>
      </c>
      <c r="D509" s="22" t="s">
        <v>103</v>
      </c>
      <c r="E509" s="21" t="s">
        <v>13</v>
      </c>
      <c r="F509" s="208">
        <f>F510</f>
        <v>63550</v>
      </c>
      <c r="G509" s="12"/>
      <c r="H509" s="13"/>
    </row>
    <row r="510" spans="1:8" ht="31.5" customHeight="1" x14ac:dyDescent="0.2">
      <c r="A510" s="20" t="s">
        <v>400</v>
      </c>
      <c r="B510" s="21" t="s">
        <v>54</v>
      </c>
      <c r="C510" s="21" t="s">
        <v>399</v>
      </c>
      <c r="D510" s="22" t="s">
        <v>401</v>
      </c>
      <c r="E510" s="21" t="s">
        <v>13</v>
      </c>
      <c r="F510" s="208">
        <f>F511</f>
        <v>63550</v>
      </c>
      <c r="G510" s="12"/>
      <c r="H510" s="13"/>
    </row>
    <row r="511" spans="1:8" ht="31.5" customHeight="1" x14ac:dyDescent="0.2">
      <c r="A511" s="20" t="s">
        <v>400</v>
      </c>
      <c r="B511" s="21" t="s">
        <v>54</v>
      </c>
      <c r="C511" s="21" t="s">
        <v>399</v>
      </c>
      <c r="D511" s="22" t="s">
        <v>402</v>
      </c>
      <c r="E511" s="21"/>
      <c r="F511" s="208">
        <f>F512</f>
        <v>63550</v>
      </c>
      <c r="G511" s="12"/>
      <c r="H511" s="13"/>
    </row>
    <row r="512" spans="1:8" ht="15.75" customHeight="1" x14ac:dyDescent="0.2">
      <c r="A512" s="20" t="s">
        <v>403</v>
      </c>
      <c r="B512" s="21" t="s">
        <v>54</v>
      </c>
      <c r="C512" s="21" t="s">
        <v>399</v>
      </c>
      <c r="D512" s="22" t="s">
        <v>402</v>
      </c>
      <c r="E512" s="21">
        <v>310</v>
      </c>
      <c r="F512" s="331">
        <v>63550</v>
      </c>
      <c r="G512" s="255"/>
      <c r="H512" s="13"/>
    </row>
    <row r="513" spans="1:8" ht="15.75" customHeight="1" x14ac:dyDescent="0.2">
      <c r="A513" s="20" t="s">
        <v>404</v>
      </c>
      <c r="B513" s="21" t="s">
        <v>54</v>
      </c>
      <c r="C513" s="21" t="s">
        <v>405</v>
      </c>
      <c r="D513" s="22" t="s">
        <v>13</v>
      </c>
      <c r="E513" s="21" t="s">
        <v>13</v>
      </c>
      <c r="F513" s="208">
        <f>F519+F544+F527+F600+F605+F514</f>
        <v>445357.1999999999</v>
      </c>
      <c r="G513" s="12"/>
      <c r="H513" s="13"/>
    </row>
    <row r="514" spans="1:8" ht="15.75" customHeight="1" x14ac:dyDescent="0.2">
      <c r="A514" s="97" t="s">
        <v>172</v>
      </c>
      <c r="B514" s="21" t="s">
        <v>54</v>
      </c>
      <c r="C514" s="21" t="s">
        <v>405</v>
      </c>
      <c r="D514" s="93" t="s">
        <v>173</v>
      </c>
      <c r="E514" s="21"/>
      <c r="F514" s="295">
        <f>F515</f>
        <v>279.60000000000002</v>
      </c>
      <c r="G514" s="12"/>
      <c r="H514" s="349"/>
    </row>
    <row r="515" spans="1:8" ht="15.75" customHeight="1" x14ac:dyDescent="0.2">
      <c r="A515" s="97" t="s">
        <v>174</v>
      </c>
      <c r="B515" s="21" t="s">
        <v>54</v>
      </c>
      <c r="C515" s="21" t="s">
        <v>405</v>
      </c>
      <c r="D515" s="93" t="s">
        <v>175</v>
      </c>
      <c r="E515" s="21"/>
      <c r="F515" s="295">
        <f>F516</f>
        <v>279.60000000000002</v>
      </c>
      <c r="G515" s="12"/>
      <c r="H515" s="349"/>
    </row>
    <row r="516" spans="1:8" ht="15.75" customHeight="1" x14ac:dyDescent="0.2">
      <c r="A516" s="20" t="s">
        <v>813</v>
      </c>
      <c r="B516" s="21" t="s">
        <v>54</v>
      </c>
      <c r="C516" s="21" t="s">
        <v>405</v>
      </c>
      <c r="D516" s="93" t="s">
        <v>814</v>
      </c>
      <c r="E516" s="21"/>
      <c r="F516" s="295">
        <f>F517</f>
        <v>279.60000000000002</v>
      </c>
      <c r="G516" s="12"/>
      <c r="H516" s="349"/>
    </row>
    <row r="517" spans="1:8" ht="15.75" customHeight="1" x14ac:dyDescent="0.2">
      <c r="A517" s="20" t="s">
        <v>845</v>
      </c>
      <c r="B517" s="21" t="s">
        <v>54</v>
      </c>
      <c r="C517" s="21" t="s">
        <v>405</v>
      </c>
      <c r="D517" s="93" t="s">
        <v>1084</v>
      </c>
      <c r="E517" s="56"/>
      <c r="F517" s="295">
        <f>F518</f>
        <v>279.60000000000002</v>
      </c>
      <c r="G517" s="12"/>
      <c r="H517" s="349"/>
    </row>
    <row r="518" spans="1:8" ht="15.75" customHeight="1" x14ac:dyDescent="0.2">
      <c r="A518" s="20" t="s">
        <v>403</v>
      </c>
      <c r="B518" s="21" t="s">
        <v>54</v>
      </c>
      <c r="C518" s="21" t="s">
        <v>405</v>
      </c>
      <c r="D518" s="93" t="s">
        <v>1084</v>
      </c>
      <c r="E518" s="56">
        <v>310</v>
      </c>
      <c r="F518" s="295">
        <v>279.60000000000002</v>
      </c>
      <c r="G518" s="348"/>
      <c r="H518" s="349"/>
    </row>
    <row r="519" spans="1:8" ht="31.5" customHeight="1" x14ac:dyDescent="0.2">
      <c r="A519" s="20" t="s">
        <v>313</v>
      </c>
      <c r="B519" s="21" t="s">
        <v>54</v>
      </c>
      <c r="C519" s="21" t="s">
        <v>405</v>
      </c>
      <c r="D519" s="22" t="s">
        <v>314</v>
      </c>
      <c r="E519" s="21" t="s">
        <v>13</v>
      </c>
      <c r="F519" s="208">
        <f>F520</f>
        <v>25623</v>
      </c>
      <c r="G519" s="12"/>
      <c r="H519" s="13"/>
    </row>
    <row r="520" spans="1:8" ht="15.75" customHeight="1" x14ac:dyDescent="0.2">
      <c r="A520" s="20" t="s">
        <v>285</v>
      </c>
      <c r="B520" s="21" t="s">
        <v>54</v>
      </c>
      <c r="C520" s="21" t="s">
        <v>405</v>
      </c>
      <c r="D520" s="22" t="s">
        <v>286</v>
      </c>
      <c r="E520" s="21" t="s">
        <v>13</v>
      </c>
      <c r="F520" s="294">
        <f>F521+F525+F523</f>
        <v>25623</v>
      </c>
      <c r="G520" s="12"/>
      <c r="H520" s="13"/>
    </row>
    <row r="521" spans="1:8" ht="15.75" customHeight="1" x14ac:dyDescent="0.2">
      <c r="A521" s="20" t="s">
        <v>285</v>
      </c>
      <c r="B521" s="21" t="s">
        <v>54</v>
      </c>
      <c r="C521" s="21" t="s">
        <v>405</v>
      </c>
      <c r="D521" s="22" t="s">
        <v>406</v>
      </c>
      <c r="E521" s="21"/>
      <c r="F521" s="294">
        <f>F522</f>
        <v>2500</v>
      </c>
      <c r="G521" s="12"/>
      <c r="H521" s="13"/>
    </row>
    <row r="522" spans="1:8" ht="15.75" customHeight="1" x14ac:dyDescent="0.2">
      <c r="A522" s="20" t="s">
        <v>403</v>
      </c>
      <c r="B522" s="21" t="s">
        <v>54</v>
      </c>
      <c r="C522" s="21" t="s">
        <v>405</v>
      </c>
      <c r="D522" s="22" t="s">
        <v>406</v>
      </c>
      <c r="E522" s="21">
        <v>310</v>
      </c>
      <c r="F522" s="294">
        <v>2500</v>
      </c>
      <c r="G522" s="17"/>
      <c r="H522" s="13"/>
    </row>
    <row r="523" spans="1:8" ht="15.75" customHeight="1" x14ac:dyDescent="0.2">
      <c r="A523" s="20" t="s">
        <v>287</v>
      </c>
      <c r="B523" s="21" t="s">
        <v>54</v>
      </c>
      <c r="C523" s="21" t="s">
        <v>405</v>
      </c>
      <c r="D523" s="22" t="s">
        <v>288</v>
      </c>
      <c r="E523" s="21" t="s">
        <v>13</v>
      </c>
      <c r="F523" s="294">
        <f>SUM(F524)</f>
        <v>22963.200000000001</v>
      </c>
      <c r="G523" s="238"/>
      <c r="H523" s="160"/>
    </row>
    <row r="524" spans="1:8" ht="15.75" customHeight="1" x14ac:dyDescent="0.2">
      <c r="A524" s="20" t="s">
        <v>289</v>
      </c>
      <c r="B524" s="21" t="s">
        <v>54</v>
      </c>
      <c r="C524" s="21" t="s">
        <v>405</v>
      </c>
      <c r="D524" s="22" t="s">
        <v>288</v>
      </c>
      <c r="E524" s="21">
        <v>320</v>
      </c>
      <c r="F524" s="294">
        <v>22963.200000000001</v>
      </c>
      <c r="G524" s="193"/>
      <c r="H524" s="160"/>
    </row>
    <row r="525" spans="1:8" ht="31.5" customHeight="1" x14ac:dyDescent="0.2">
      <c r="A525" s="20" t="s">
        <v>317</v>
      </c>
      <c r="B525" s="21" t="s">
        <v>54</v>
      </c>
      <c r="C525" s="21" t="s">
        <v>405</v>
      </c>
      <c r="D525" s="22" t="s">
        <v>407</v>
      </c>
      <c r="E525" s="21"/>
      <c r="F525" s="294">
        <f>F526</f>
        <v>159.80000000000001</v>
      </c>
      <c r="G525" s="239"/>
      <c r="H525" s="160"/>
    </row>
    <row r="526" spans="1:8" ht="31.5" customHeight="1" x14ac:dyDescent="0.2">
      <c r="A526" s="20" t="s">
        <v>289</v>
      </c>
      <c r="B526" s="21" t="s">
        <v>54</v>
      </c>
      <c r="C526" s="21" t="s">
        <v>405</v>
      </c>
      <c r="D526" s="22" t="s">
        <v>407</v>
      </c>
      <c r="E526" s="21">
        <v>320</v>
      </c>
      <c r="F526" s="208">
        <v>159.80000000000001</v>
      </c>
      <c r="G526" s="193"/>
      <c r="H526" s="160"/>
    </row>
    <row r="527" spans="1:8" ht="49.5" customHeight="1" x14ac:dyDescent="0.2">
      <c r="A527" s="20" t="s">
        <v>242</v>
      </c>
      <c r="B527" s="21" t="s">
        <v>54</v>
      </c>
      <c r="C527" s="21" t="s">
        <v>405</v>
      </c>
      <c r="D527" s="22" t="s">
        <v>243</v>
      </c>
      <c r="E527" s="21" t="s">
        <v>13</v>
      </c>
      <c r="F527" s="208">
        <f>F528+F534</f>
        <v>352527.39999999997</v>
      </c>
      <c r="G527" s="12"/>
      <c r="H527" s="13"/>
    </row>
    <row r="528" spans="1:8" ht="31.5" customHeight="1" x14ac:dyDescent="0.2">
      <c r="A528" s="20" t="s">
        <v>295</v>
      </c>
      <c r="B528" s="21" t="s">
        <v>54</v>
      </c>
      <c r="C528" s="21" t="s">
        <v>405</v>
      </c>
      <c r="D528" s="22" t="s">
        <v>296</v>
      </c>
      <c r="E528" s="21" t="s">
        <v>13</v>
      </c>
      <c r="F528" s="208">
        <f>F529</f>
        <v>325851.89999999997</v>
      </c>
      <c r="G528" s="12"/>
      <c r="H528" s="13"/>
    </row>
    <row r="529" spans="1:8" ht="31.5" customHeight="1" x14ac:dyDescent="0.2">
      <c r="A529" s="20" t="s">
        <v>408</v>
      </c>
      <c r="B529" s="21" t="s">
        <v>54</v>
      </c>
      <c r="C529" s="21">
        <v>1003</v>
      </c>
      <c r="D529" s="22" t="s">
        <v>409</v>
      </c>
      <c r="E529" s="21"/>
      <c r="F529" s="208">
        <f>F530+F532</f>
        <v>325851.89999999997</v>
      </c>
      <c r="G529" s="37"/>
      <c r="H529" s="13"/>
    </row>
    <row r="530" spans="1:8" ht="31.5" customHeight="1" x14ac:dyDescent="0.2">
      <c r="A530" s="20" t="s">
        <v>1117</v>
      </c>
      <c r="B530" s="21" t="s">
        <v>54</v>
      </c>
      <c r="C530" s="21">
        <v>1003</v>
      </c>
      <c r="D530" s="22" t="s">
        <v>863</v>
      </c>
      <c r="E530" s="21"/>
      <c r="F530" s="294">
        <f>F531</f>
        <v>316332.59999999998</v>
      </c>
      <c r="G530" s="184"/>
      <c r="H530" s="13"/>
    </row>
    <row r="531" spans="1:8" ht="31.5" customHeight="1" x14ac:dyDescent="0.2">
      <c r="A531" s="20" t="s">
        <v>289</v>
      </c>
      <c r="B531" s="21" t="s">
        <v>54</v>
      </c>
      <c r="C531" s="21">
        <v>1003</v>
      </c>
      <c r="D531" s="22" t="s">
        <v>863</v>
      </c>
      <c r="E531" s="21">
        <v>320</v>
      </c>
      <c r="F531" s="294">
        <f>258333.6+57999</f>
        <v>316332.59999999998</v>
      </c>
      <c r="G531" s="343"/>
      <c r="H531" s="13"/>
    </row>
    <row r="532" spans="1:8" ht="36" customHeight="1" x14ac:dyDescent="0.2">
      <c r="A532" s="24" t="s">
        <v>868</v>
      </c>
      <c r="B532" s="21" t="s">
        <v>54</v>
      </c>
      <c r="C532" s="21">
        <v>1003</v>
      </c>
      <c r="D532" s="22" t="s">
        <v>867</v>
      </c>
      <c r="E532" s="21"/>
      <c r="F532" s="294">
        <f>F533</f>
        <v>9519.2999999999993</v>
      </c>
      <c r="G532" s="37"/>
      <c r="H532" s="13"/>
    </row>
    <row r="533" spans="1:8" ht="31.5" customHeight="1" x14ac:dyDescent="0.2">
      <c r="A533" s="20" t="s">
        <v>289</v>
      </c>
      <c r="B533" s="21" t="s">
        <v>54</v>
      </c>
      <c r="C533" s="21">
        <v>1003</v>
      </c>
      <c r="D533" s="22" t="s">
        <v>867</v>
      </c>
      <c r="E533" s="21">
        <v>320</v>
      </c>
      <c r="F533" s="332">
        <v>9519.2999999999993</v>
      </c>
      <c r="G533" s="17"/>
      <c r="H533" s="13"/>
    </row>
    <row r="534" spans="1:8" ht="31.5" customHeight="1" x14ac:dyDescent="0.2">
      <c r="A534" s="20" t="s">
        <v>410</v>
      </c>
      <c r="B534" s="21" t="s">
        <v>54</v>
      </c>
      <c r="C534" s="21" t="s">
        <v>405</v>
      </c>
      <c r="D534" s="22" t="s">
        <v>411</v>
      </c>
      <c r="E534" s="21" t="s">
        <v>13</v>
      </c>
      <c r="F534" s="294">
        <f>F535</f>
        <v>26675.5</v>
      </c>
      <c r="G534" s="157"/>
      <c r="H534" s="13"/>
    </row>
    <row r="535" spans="1:8" ht="47.25" customHeight="1" x14ac:dyDescent="0.2">
      <c r="A535" s="20" t="s">
        <v>412</v>
      </c>
      <c r="B535" s="21" t="s">
        <v>54</v>
      </c>
      <c r="C535" s="21" t="s">
        <v>405</v>
      </c>
      <c r="D535" s="22" t="s">
        <v>413</v>
      </c>
      <c r="E535" s="21" t="s">
        <v>13</v>
      </c>
      <c r="F535" s="294">
        <f>F537+F539+F541+F543</f>
        <v>26675.5</v>
      </c>
      <c r="G535" s="157"/>
      <c r="H535" s="13"/>
    </row>
    <row r="536" spans="1:8" ht="47.25" customHeight="1" x14ac:dyDescent="0.2">
      <c r="A536" s="20" t="s">
        <v>1117</v>
      </c>
      <c r="B536" s="21" t="s">
        <v>54</v>
      </c>
      <c r="C536" s="21" t="s">
        <v>405</v>
      </c>
      <c r="D536" s="22" t="s">
        <v>1060</v>
      </c>
      <c r="E536" s="21"/>
      <c r="F536" s="294">
        <f>F537</f>
        <v>310.7</v>
      </c>
      <c r="G536" s="157"/>
      <c r="H536" s="13"/>
    </row>
    <row r="537" spans="1:8" ht="47.25" customHeight="1" x14ac:dyDescent="0.2">
      <c r="A537" s="20" t="s">
        <v>289</v>
      </c>
      <c r="B537" s="21" t="s">
        <v>54</v>
      </c>
      <c r="C537" s="21" t="s">
        <v>405</v>
      </c>
      <c r="D537" s="22" t="s">
        <v>1060</v>
      </c>
      <c r="E537" s="21">
        <v>320</v>
      </c>
      <c r="F537" s="294">
        <v>310.7</v>
      </c>
      <c r="G537" s="157"/>
      <c r="H537" s="13"/>
    </row>
    <row r="538" spans="1:8" ht="47.25" customHeight="1" x14ac:dyDescent="0.2">
      <c r="A538" s="20" t="s">
        <v>1061</v>
      </c>
      <c r="B538" s="21" t="s">
        <v>54</v>
      </c>
      <c r="C538" s="21" t="s">
        <v>405</v>
      </c>
      <c r="D538" s="22" t="s">
        <v>1062</v>
      </c>
      <c r="E538" s="21"/>
      <c r="F538" s="294">
        <f>F539</f>
        <v>30.8</v>
      </c>
      <c r="G538" s="157"/>
      <c r="H538" s="13"/>
    </row>
    <row r="539" spans="1:8" ht="47.25" customHeight="1" x14ac:dyDescent="0.2">
      <c r="A539" s="20" t="s">
        <v>289</v>
      </c>
      <c r="B539" s="21" t="s">
        <v>54</v>
      </c>
      <c r="C539" s="21" t="s">
        <v>405</v>
      </c>
      <c r="D539" s="22" t="s">
        <v>1062</v>
      </c>
      <c r="E539" s="21">
        <v>320</v>
      </c>
      <c r="F539" s="294">
        <v>30.8</v>
      </c>
      <c r="G539" s="157"/>
      <c r="H539" s="13"/>
    </row>
    <row r="540" spans="1:8" ht="47.25" customHeight="1" x14ac:dyDescent="0.2">
      <c r="A540" s="20" t="s">
        <v>1063</v>
      </c>
      <c r="B540" s="21" t="s">
        <v>54</v>
      </c>
      <c r="C540" s="21" t="s">
        <v>405</v>
      </c>
      <c r="D540" s="22" t="s">
        <v>1064</v>
      </c>
      <c r="E540" s="21"/>
      <c r="F540" s="294">
        <f>F541</f>
        <v>25670.400000000001</v>
      </c>
      <c r="G540" s="157"/>
      <c r="H540" s="13"/>
    </row>
    <row r="541" spans="1:8" ht="47.25" customHeight="1" x14ac:dyDescent="0.2">
      <c r="A541" s="20" t="s">
        <v>289</v>
      </c>
      <c r="B541" s="21" t="s">
        <v>54</v>
      </c>
      <c r="C541" s="21" t="s">
        <v>405</v>
      </c>
      <c r="D541" s="22" t="s">
        <v>1064</v>
      </c>
      <c r="E541" s="21">
        <v>320</v>
      </c>
      <c r="F541" s="294">
        <v>25670.400000000001</v>
      </c>
      <c r="G541" s="157"/>
      <c r="H541" s="13"/>
    </row>
    <row r="542" spans="1:8" ht="31.5" customHeight="1" x14ac:dyDescent="0.2">
      <c r="A542" s="24" t="s">
        <v>414</v>
      </c>
      <c r="B542" s="21" t="s">
        <v>54</v>
      </c>
      <c r="C542" s="21" t="s">
        <v>405</v>
      </c>
      <c r="D542" s="22" t="s">
        <v>829</v>
      </c>
      <c r="E542" s="21"/>
      <c r="F542" s="294">
        <f>F543</f>
        <v>663.6</v>
      </c>
      <c r="G542" s="195"/>
      <c r="H542" s="163"/>
    </row>
    <row r="543" spans="1:8" ht="31.5" customHeight="1" x14ac:dyDescent="0.2">
      <c r="A543" s="20" t="s">
        <v>289</v>
      </c>
      <c r="B543" s="21" t="s">
        <v>54</v>
      </c>
      <c r="C543" s="21" t="s">
        <v>405</v>
      </c>
      <c r="D543" s="22" t="s">
        <v>829</v>
      </c>
      <c r="E543" s="21">
        <v>320</v>
      </c>
      <c r="F543" s="332">
        <v>663.6</v>
      </c>
      <c r="G543" s="253"/>
      <c r="H543" s="163"/>
    </row>
    <row r="544" spans="1:8" ht="31.5" customHeight="1" x14ac:dyDescent="0.2">
      <c r="A544" s="20" t="s">
        <v>102</v>
      </c>
      <c r="B544" s="21" t="s">
        <v>54</v>
      </c>
      <c r="C544" s="21" t="s">
        <v>405</v>
      </c>
      <c r="D544" s="22" t="s">
        <v>103</v>
      </c>
      <c r="E544" s="21" t="s">
        <v>13</v>
      </c>
      <c r="F544" s="294">
        <f>F545+F548+F551</f>
        <v>65730.3</v>
      </c>
      <c r="G544" s="12"/>
      <c r="H544" s="13"/>
    </row>
    <row r="545" spans="1:8" ht="31.5" customHeight="1" x14ac:dyDescent="0.2">
      <c r="A545" s="20" t="s">
        <v>415</v>
      </c>
      <c r="B545" s="21" t="s">
        <v>54</v>
      </c>
      <c r="C545" s="21" t="s">
        <v>405</v>
      </c>
      <c r="D545" s="22" t="s">
        <v>416</v>
      </c>
      <c r="E545" s="21" t="s">
        <v>13</v>
      </c>
      <c r="F545" s="294">
        <f>F546</f>
        <v>3448.2</v>
      </c>
      <c r="G545" s="12"/>
      <c r="H545" s="13"/>
    </row>
    <row r="546" spans="1:8" ht="31.5" customHeight="1" x14ac:dyDescent="0.2">
      <c r="A546" s="20" t="s">
        <v>415</v>
      </c>
      <c r="B546" s="21" t="s">
        <v>54</v>
      </c>
      <c r="C546" s="21" t="s">
        <v>405</v>
      </c>
      <c r="D546" s="22" t="s">
        <v>417</v>
      </c>
      <c r="E546" s="21"/>
      <c r="F546" s="294">
        <f>F547</f>
        <v>3448.2</v>
      </c>
      <c r="G546" s="12"/>
      <c r="H546" s="13"/>
    </row>
    <row r="547" spans="1:8" ht="18.75" customHeight="1" x14ac:dyDescent="0.2">
      <c r="A547" s="20" t="s">
        <v>403</v>
      </c>
      <c r="B547" s="21" t="s">
        <v>54</v>
      </c>
      <c r="C547" s="21" t="s">
        <v>405</v>
      </c>
      <c r="D547" s="22" t="s">
        <v>417</v>
      </c>
      <c r="E547" s="21">
        <v>310</v>
      </c>
      <c r="F547" s="333">
        <v>3448.2</v>
      </c>
      <c r="G547" s="17"/>
      <c r="H547" s="13"/>
    </row>
    <row r="548" spans="1:8" ht="31.5" customHeight="1" x14ac:dyDescent="0.2">
      <c r="A548" s="20" t="s">
        <v>418</v>
      </c>
      <c r="B548" s="21" t="s">
        <v>54</v>
      </c>
      <c r="C548" s="21" t="s">
        <v>405</v>
      </c>
      <c r="D548" s="22" t="s">
        <v>419</v>
      </c>
      <c r="E548" s="21" t="s">
        <v>13</v>
      </c>
      <c r="F548" s="294">
        <f>F549</f>
        <v>114.2</v>
      </c>
      <c r="G548" s="12"/>
      <c r="H548" s="13"/>
    </row>
    <row r="549" spans="1:8" ht="31.5" customHeight="1" x14ac:dyDescent="0.2">
      <c r="A549" s="20" t="s">
        <v>418</v>
      </c>
      <c r="B549" s="21" t="s">
        <v>54</v>
      </c>
      <c r="C549" s="21" t="s">
        <v>405</v>
      </c>
      <c r="D549" s="22" t="s">
        <v>420</v>
      </c>
      <c r="E549" s="21"/>
      <c r="F549" s="294">
        <f>F550</f>
        <v>114.2</v>
      </c>
      <c r="G549" s="12"/>
      <c r="H549" s="13"/>
    </row>
    <row r="550" spans="1:8" ht="15.75" customHeight="1" x14ac:dyDescent="0.2">
      <c r="A550" s="20" t="s">
        <v>403</v>
      </c>
      <c r="B550" s="21" t="s">
        <v>54</v>
      </c>
      <c r="C550" s="21" t="s">
        <v>405</v>
      </c>
      <c r="D550" s="22" t="s">
        <v>420</v>
      </c>
      <c r="E550" s="21">
        <v>310</v>
      </c>
      <c r="F550" s="333">
        <v>114.2</v>
      </c>
      <c r="G550" s="12"/>
      <c r="H550" s="13"/>
    </row>
    <row r="551" spans="1:8" ht="31.5" customHeight="1" x14ac:dyDescent="0.2">
      <c r="A551" s="20" t="s">
        <v>104</v>
      </c>
      <c r="B551" s="21" t="s">
        <v>54</v>
      </c>
      <c r="C551" s="21" t="s">
        <v>405</v>
      </c>
      <c r="D551" s="22" t="s">
        <v>105</v>
      </c>
      <c r="E551" s="21" t="s">
        <v>13</v>
      </c>
      <c r="F551" s="294">
        <f>F552+F555+F558+F561+F564+F567+F570+F573+F576+F579+F582+F585+F588+F591+F594+F597</f>
        <v>62167.9</v>
      </c>
      <c r="G551" s="12"/>
      <c r="H551" s="13"/>
    </row>
    <row r="552" spans="1:8" ht="47.25" customHeight="1" x14ac:dyDescent="0.2">
      <c r="A552" s="20" t="s">
        <v>421</v>
      </c>
      <c r="B552" s="21" t="s">
        <v>54</v>
      </c>
      <c r="C552" s="21" t="s">
        <v>405</v>
      </c>
      <c r="D552" s="22" t="s">
        <v>422</v>
      </c>
      <c r="E552" s="21" t="s">
        <v>13</v>
      </c>
      <c r="F552" s="294">
        <f>F553</f>
        <v>3225</v>
      </c>
      <c r="G552" s="12"/>
      <c r="H552" s="13"/>
    </row>
    <row r="553" spans="1:8" ht="47.25" customHeight="1" x14ac:dyDescent="0.2">
      <c r="A553" s="20" t="s">
        <v>421</v>
      </c>
      <c r="B553" s="21" t="s">
        <v>54</v>
      </c>
      <c r="C553" s="21" t="s">
        <v>405</v>
      </c>
      <c r="D553" s="22" t="s">
        <v>423</v>
      </c>
      <c r="E553" s="21"/>
      <c r="F553" s="294">
        <f>F554</f>
        <v>3225</v>
      </c>
      <c r="G553" s="12"/>
      <c r="H553" s="13"/>
    </row>
    <row r="554" spans="1:8" ht="15.75" customHeight="1" x14ac:dyDescent="0.2">
      <c r="A554" s="20" t="s">
        <v>403</v>
      </c>
      <c r="B554" s="21" t="s">
        <v>54</v>
      </c>
      <c r="C554" s="21" t="s">
        <v>405</v>
      </c>
      <c r="D554" s="22" t="s">
        <v>423</v>
      </c>
      <c r="E554" s="21">
        <v>310</v>
      </c>
      <c r="F554" s="294">
        <f>3462-237</f>
        <v>3225</v>
      </c>
      <c r="G554" s="17"/>
      <c r="H554" s="13"/>
    </row>
    <row r="555" spans="1:8" ht="15.75" customHeight="1" x14ac:dyDescent="0.2">
      <c r="A555" s="20" t="s">
        <v>424</v>
      </c>
      <c r="B555" s="21" t="s">
        <v>54</v>
      </c>
      <c r="C555" s="21" t="s">
        <v>405</v>
      </c>
      <c r="D555" s="22" t="s">
        <v>425</v>
      </c>
      <c r="E555" s="21" t="s">
        <v>13</v>
      </c>
      <c r="F555" s="294">
        <f>F556</f>
        <v>1677</v>
      </c>
      <c r="G555" s="12"/>
      <c r="H555" s="13"/>
    </row>
    <row r="556" spans="1:8" ht="15.75" customHeight="1" x14ac:dyDescent="0.2">
      <c r="A556" s="20" t="s">
        <v>424</v>
      </c>
      <c r="B556" s="21" t="s">
        <v>54</v>
      </c>
      <c r="C556" s="21" t="s">
        <v>405</v>
      </c>
      <c r="D556" s="22" t="s">
        <v>426</v>
      </c>
      <c r="E556" s="21"/>
      <c r="F556" s="294">
        <f>F557</f>
        <v>1677</v>
      </c>
      <c r="G556" s="12"/>
      <c r="H556" s="13"/>
    </row>
    <row r="557" spans="1:8" ht="15.75" customHeight="1" x14ac:dyDescent="0.2">
      <c r="A557" s="20" t="s">
        <v>403</v>
      </c>
      <c r="B557" s="21" t="s">
        <v>54</v>
      </c>
      <c r="C557" s="21" t="s">
        <v>405</v>
      </c>
      <c r="D557" s="22" t="s">
        <v>426</v>
      </c>
      <c r="E557" s="21">
        <v>310</v>
      </c>
      <c r="F557" s="294">
        <v>1677</v>
      </c>
      <c r="G557" s="17"/>
      <c r="H557" s="13"/>
    </row>
    <row r="558" spans="1:8" ht="31.5" customHeight="1" x14ac:dyDescent="0.2">
      <c r="A558" s="20" t="s">
        <v>427</v>
      </c>
      <c r="B558" s="21" t="s">
        <v>54</v>
      </c>
      <c r="C558" s="21" t="s">
        <v>405</v>
      </c>
      <c r="D558" s="22" t="s">
        <v>428</v>
      </c>
      <c r="E558" s="21" t="s">
        <v>13</v>
      </c>
      <c r="F558" s="294">
        <f>F559</f>
        <v>100</v>
      </c>
      <c r="G558" s="12"/>
      <c r="H558" s="13"/>
    </row>
    <row r="559" spans="1:8" ht="31.5" customHeight="1" x14ac:dyDescent="0.2">
      <c r="A559" s="20" t="s">
        <v>427</v>
      </c>
      <c r="B559" s="21" t="s">
        <v>54</v>
      </c>
      <c r="C559" s="21" t="s">
        <v>405</v>
      </c>
      <c r="D559" s="22" t="s">
        <v>429</v>
      </c>
      <c r="E559" s="21"/>
      <c r="F559" s="294">
        <f>F560</f>
        <v>100</v>
      </c>
      <c r="G559" s="12"/>
      <c r="H559" s="13"/>
    </row>
    <row r="560" spans="1:8" ht="15.75" customHeight="1" x14ac:dyDescent="0.2">
      <c r="A560" s="20" t="s">
        <v>403</v>
      </c>
      <c r="B560" s="21" t="s">
        <v>54</v>
      </c>
      <c r="C560" s="21" t="s">
        <v>405</v>
      </c>
      <c r="D560" s="22" t="s">
        <v>429</v>
      </c>
      <c r="E560" s="21">
        <v>310</v>
      </c>
      <c r="F560" s="294">
        <v>100</v>
      </c>
      <c r="G560" s="109"/>
      <c r="H560" s="13"/>
    </row>
    <row r="561" spans="1:8" ht="32.25" customHeight="1" x14ac:dyDescent="0.2">
      <c r="A561" s="20" t="s">
        <v>430</v>
      </c>
      <c r="B561" s="21" t="s">
        <v>54</v>
      </c>
      <c r="C561" s="21" t="s">
        <v>405</v>
      </c>
      <c r="D561" s="22" t="s">
        <v>431</v>
      </c>
      <c r="E561" s="21" t="s">
        <v>13</v>
      </c>
      <c r="F561" s="294">
        <f>F562</f>
        <v>1149.5</v>
      </c>
      <c r="G561" s="12"/>
      <c r="H561" s="13"/>
    </row>
    <row r="562" spans="1:8" ht="30.75" customHeight="1" x14ac:dyDescent="0.2">
      <c r="A562" s="20" t="s">
        <v>430</v>
      </c>
      <c r="B562" s="21" t="s">
        <v>54</v>
      </c>
      <c r="C562" s="21" t="s">
        <v>405</v>
      </c>
      <c r="D562" s="22" t="s">
        <v>432</v>
      </c>
      <c r="E562" s="21"/>
      <c r="F562" s="294">
        <f>F563</f>
        <v>1149.5</v>
      </c>
      <c r="G562" s="12"/>
      <c r="H562" s="13"/>
    </row>
    <row r="563" spans="1:8" ht="15.75" customHeight="1" x14ac:dyDescent="0.2">
      <c r="A563" s="20" t="s">
        <v>403</v>
      </c>
      <c r="B563" s="21" t="s">
        <v>54</v>
      </c>
      <c r="C563" s="21" t="s">
        <v>405</v>
      </c>
      <c r="D563" s="22" t="s">
        <v>432</v>
      </c>
      <c r="E563" s="21">
        <v>310</v>
      </c>
      <c r="F563" s="294">
        <v>1149.5</v>
      </c>
      <c r="G563" s="17"/>
      <c r="H563" s="13"/>
    </row>
    <row r="564" spans="1:8" ht="31.5" customHeight="1" x14ac:dyDescent="0.2">
      <c r="A564" s="20" t="s">
        <v>433</v>
      </c>
      <c r="B564" s="21" t="s">
        <v>54</v>
      </c>
      <c r="C564" s="21" t="s">
        <v>405</v>
      </c>
      <c r="D564" s="22" t="s">
        <v>434</v>
      </c>
      <c r="E564" s="21" t="s">
        <v>13</v>
      </c>
      <c r="F564" s="294">
        <f>F565</f>
        <v>5.7</v>
      </c>
      <c r="G564" s="12"/>
      <c r="H564" s="13"/>
    </row>
    <row r="565" spans="1:8" ht="31.5" customHeight="1" x14ac:dyDescent="0.2">
      <c r="A565" s="20" t="s">
        <v>433</v>
      </c>
      <c r="B565" s="21" t="s">
        <v>54</v>
      </c>
      <c r="C565" s="21" t="s">
        <v>405</v>
      </c>
      <c r="D565" s="22" t="s">
        <v>435</v>
      </c>
      <c r="E565" s="21"/>
      <c r="F565" s="294">
        <f>F566</f>
        <v>5.7</v>
      </c>
      <c r="G565" s="12"/>
      <c r="H565" s="13"/>
    </row>
    <row r="566" spans="1:8" ht="15.75" customHeight="1" x14ac:dyDescent="0.2">
      <c r="A566" s="20" t="s">
        <v>403</v>
      </c>
      <c r="B566" s="21" t="s">
        <v>54</v>
      </c>
      <c r="C566" s="21" t="s">
        <v>405</v>
      </c>
      <c r="D566" s="22" t="s">
        <v>435</v>
      </c>
      <c r="E566" s="21">
        <v>310</v>
      </c>
      <c r="F566" s="294">
        <v>5.7</v>
      </c>
      <c r="G566" s="17"/>
      <c r="H566" s="13"/>
    </row>
    <row r="567" spans="1:8" ht="47.25" customHeight="1" x14ac:dyDescent="0.2">
      <c r="A567" s="20" t="s">
        <v>436</v>
      </c>
      <c r="B567" s="21" t="s">
        <v>54</v>
      </c>
      <c r="C567" s="21" t="s">
        <v>405</v>
      </c>
      <c r="D567" s="22" t="s">
        <v>437</v>
      </c>
      <c r="E567" s="21" t="s">
        <v>13</v>
      </c>
      <c r="F567" s="294">
        <f>F568</f>
        <v>2400</v>
      </c>
      <c r="G567" s="12"/>
      <c r="H567" s="13"/>
    </row>
    <row r="568" spans="1:8" ht="47.25" customHeight="1" x14ac:dyDescent="0.2">
      <c r="A568" s="20" t="s">
        <v>436</v>
      </c>
      <c r="B568" s="21" t="s">
        <v>54</v>
      </c>
      <c r="C568" s="21" t="s">
        <v>405</v>
      </c>
      <c r="D568" s="22" t="s">
        <v>438</v>
      </c>
      <c r="E568" s="21"/>
      <c r="F568" s="294">
        <f>F569</f>
        <v>2400</v>
      </c>
      <c r="G568" s="12"/>
      <c r="H568" s="13"/>
    </row>
    <row r="569" spans="1:8" ht="15.75" customHeight="1" x14ac:dyDescent="0.2">
      <c r="A569" s="20" t="s">
        <v>403</v>
      </c>
      <c r="B569" s="21" t="s">
        <v>54</v>
      </c>
      <c r="C569" s="21" t="s">
        <v>405</v>
      </c>
      <c r="D569" s="22" t="s">
        <v>438</v>
      </c>
      <c r="E569" s="21">
        <v>310</v>
      </c>
      <c r="F569" s="294">
        <v>2400</v>
      </c>
      <c r="G569" s="109"/>
      <c r="H569" s="13"/>
    </row>
    <row r="570" spans="1:8" ht="31.5" customHeight="1" x14ac:dyDescent="0.2">
      <c r="A570" s="20" t="s">
        <v>439</v>
      </c>
      <c r="B570" s="21" t="s">
        <v>54</v>
      </c>
      <c r="C570" s="21" t="s">
        <v>405</v>
      </c>
      <c r="D570" s="22" t="s">
        <v>440</v>
      </c>
      <c r="E570" s="21" t="s">
        <v>13</v>
      </c>
      <c r="F570" s="294">
        <f>F571</f>
        <v>225</v>
      </c>
      <c r="G570" s="12"/>
      <c r="H570" s="13"/>
    </row>
    <row r="571" spans="1:8" ht="31.5" customHeight="1" x14ac:dyDescent="0.2">
      <c r="A571" s="20" t="s">
        <v>439</v>
      </c>
      <c r="B571" s="21" t="s">
        <v>54</v>
      </c>
      <c r="C571" s="21" t="s">
        <v>405</v>
      </c>
      <c r="D571" s="22" t="s">
        <v>441</v>
      </c>
      <c r="E571" s="21"/>
      <c r="F571" s="294">
        <f>F572</f>
        <v>225</v>
      </c>
      <c r="G571" s="12"/>
      <c r="H571" s="13"/>
    </row>
    <row r="572" spans="1:8" ht="15.75" customHeight="1" x14ac:dyDescent="0.2">
      <c r="A572" s="20" t="s">
        <v>403</v>
      </c>
      <c r="B572" s="21" t="s">
        <v>54</v>
      </c>
      <c r="C572" s="21" t="s">
        <v>405</v>
      </c>
      <c r="D572" s="22" t="s">
        <v>441</v>
      </c>
      <c r="E572" s="21">
        <v>310</v>
      </c>
      <c r="F572" s="294">
        <v>225</v>
      </c>
      <c r="G572" s="109"/>
      <c r="H572" s="13"/>
    </row>
    <row r="573" spans="1:8" ht="31.5" customHeight="1" x14ac:dyDescent="0.2">
      <c r="A573" s="20" t="s">
        <v>442</v>
      </c>
      <c r="B573" s="21" t="s">
        <v>54</v>
      </c>
      <c r="C573" s="21" t="s">
        <v>405</v>
      </c>
      <c r="D573" s="22" t="s">
        <v>443</v>
      </c>
      <c r="E573" s="21" t="s">
        <v>13</v>
      </c>
      <c r="F573" s="294">
        <f>F574</f>
        <v>2400</v>
      </c>
      <c r="G573" s="12"/>
      <c r="H573" s="13"/>
    </row>
    <row r="574" spans="1:8" ht="31.5" customHeight="1" x14ac:dyDescent="0.2">
      <c r="A574" s="20" t="s">
        <v>442</v>
      </c>
      <c r="B574" s="21" t="s">
        <v>54</v>
      </c>
      <c r="C574" s="21" t="s">
        <v>405</v>
      </c>
      <c r="D574" s="22" t="s">
        <v>444</v>
      </c>
      <c r="E574" s="21"/>
      <c r="F574" s="294">
        <f>F575</f>
        <v>2400</v>
      </c>
      <c r="G574" s="12"/>
      <c r="H574" s="13"/>
    </row>
    <row r="575" spans="1:8" ht="15.75" customHeight="1" x14ac:dyDescent="0.2">
      <c r="A575" s="20" t="s">
        <v>403</v>
      </c>
      <c r="B575" s="21" t="s">
        <v>54</v>
      </c>
      <c r="C575" s="21" t="s">
        <v>405</v>
      </c>
      <c r="D575" s="22" t="s">
        <v>444</v>
      </c>
      <c r="E575" s="21">
        <v>310</v>
      </c>
      <c r="F575" s="294">
        <v>2400</v>
      </c>
      <c r="G575" s="17"/>
      <c r="H575" s="13"/>
    </row>
    <row r="576" spans="1:8" ht="47.25" customHeight="1" x14ac:dyDescent="0.2">
      <c r="A576" s="20" t="s">
        <v>445</v>
      </c>
      <c r="B576" s="21" t="s">
        <v>54</v>
      </c>
      <c r="C576" s="21" t="s">
        <v>405</v>
      </c>
      <c r="D576" s="22" t="s">
        <v>446</v>
      </c>
      <c r="E576" s="56"/>
      <c r="F576" s="294">
        <f>F577</f>
        <v>8275.7000000000007</v>
      </c>
      <c r="G576" s="12"/>
      <c r="H576" s="13"/>
    </row>
    <row r="577" spans="1:8" ht="47.25" customHeight="1" x14ac:dyDescent="0.2">
      <c r="A577" s="20" t="s">
        <v>445</v>
      </c>
      <c r="B577" s="21" t="s">
        <v>54</v>
      </c>
      <c r="C577" s="21" t="s">
        <v>405</v>
      </c>
      <c r="D577" s="22" t="s">
        <v>447</v>
      </c>
      <c r="E577" s="56"/>
      <c r="F577" s="294">
        <f>F578</f>
        <v>8275.7000000000007</v>
      </c>
      <c r="G577" s="12"/>
      <c r="H577" s="13"/>
    </row>
    <row r="578" spans="1:8" ht="15.75" customHeight="1" x14ac:dyDescent="0.2">
      <c r="A578" s="20" t="s">
        <v>403</v>
      </c>
      <c r="B578" s="21" t="s">
        <v>54</v>
      </c>
      <c r="C578" s="21" t="s">
        <v>405</v>
      </c>
      <c r="D578" s="22" t="s">
        <v>447</v>
      </c>
      <c r="E578" s="56">
        <v>310</v>
      </c>
      <c r="F578" s="294">
        <v>8275.7000000000007</v>
      </c>
      <c r="G578" s="17"/>
      <c r="H578" s="13"/>
    </row>
    <row r="579" spans="1:8" ht="47.25" customHeight="1" x14ac:dyDescent="0.2">
      <c r="A579" s="20" t="s">
        <v>448</v>
      </c>
      <c r="B579" s="21" t="s">
        <v>54</v>
      </c>
      <c r="C579" s="21" t="s">
        <v>405</v>
      </c>
      <c r="D579" s="22" t="s">
        <v>449</v>
      </c>
      <c r="E579" s="56"/>
      <c r="F579" s="294">
        <f>F580</f>
        <v>0</v>
      </c>
      <c r="G579" s="12"/>
      <c r="H579" s="13"/>
    </row>
    <row r="580" spans="1:8" ht="47.25" customHeight="1" x14ac:dyDescent="0.2">
      <c r="A580" s="20" t="s">
        <v>448</v>
      </c>
      <c r="B580" s="21" t="s">
        <v>54</v>
      </c>
      <c r="C580" s="21" t="s">
        <v>405</v>
      </c>
      <c r="D580" s="22" t="s">
        <v>450</v>
      </c>
      <c r="E580" s="56"/>
      <c r="F580" s="294">
        <f>F581</f>
        <v>0</v>
      </c>
      <c r="G580" s="12"/>
      <c r="H580" s="13"/>
    </row>
    <row r="581" spans="1:8" ht="15.75" customHeight="1" x14ac:dyDescent="0.2">
      <c r="A581" s="20" t="s">
        <v>403</v>
      </c>
      <c r="B581" s="21" t="s">
        <v>54</v>
      </c>
      <c r="C581" s="21" t="s">
        <v>405</v>
      </c>
      <c r="D581" s="22" t="s">
        <v>450</v>
      </c>
      <c r="E581" s="56">
        <v>310</v>
      </c>
      <c r="F581" s="294">
        <f>1311-1311</f>
        <v>0</v>
      </c>
      <c r="G581" s="275"/>
      <c r="H581" s="13"/>
    </row>
    <row r="582" spans="1:8" ht="31.5" customHeight="1" x14ac:dyDescent="0.2">
      <c r="A582" s="20" t="s">
        <v>451</v>
      </c>
      <c r="B582" s="21" t="s">
        <v>54</v>
      </c>
      <c r="C582" s="21" t="s">
        <v>405</v>
      </c>
      <c r="D582" s="22" t="s">
        <v>452</v>
      </c>
      <c r="E582" s="56"/>
      <c r="F582" s="294">
        <f>F583</f>
        <v>6840</v>
      </c>
      <c r="G582" s="12"/>
      <c r="H582" s="13"/>
    </row>
    <row r="583" spans="1:8" ht="31.5" customHeight="1" x14ac:dyDescent="0.2">
      <c r="A583" s="20" t="s">
        <v>451</v>
      </c>
      <c r="B583" s="21" t="s">
        <v>54</v>
      </c>
      <c r="C583" s="21" t="s">
        <v>405</v>
      </c>
      <c r="D583" s="22" t="s">
        <v>453</v>
      </c>
      <c r="E583" s="56"/>
      <c r="F583" s="294">
        <f>F584</f>
        <v>6840</v>
      </c>
      <c r="G583" s="12"/>
      <c r="H583" s="13"/>
    </row>
    <row r="584" spans="1:8" ht="15.75" customHeight="1" x14ac:dyDescent="0.2">
      <c r="A584" s="20" t="s">
        <v>403</v>
      </c>
      <c r="B584" s="21" t="s">
        <v>54</v>
      </c>
      <c r="C584" s="21" t="s">
        <v>405</v>
      </c>
      <c r="D584" s="22" t="s">
        <v>453</v>
      </c>
      <c r="E584" s="56">
        <v>310</v>
      </c>
      <c r="F584" s="294">
        <v>6840</v>
      </c>
      <c r="G584" s="17"/>
      <c r="H584" s="13"/>
    </row>
    <row r="585" spans="1:8" ht="48" customHeight="1" x14ac:dyDescent="0.2">
      <c r="A585" s="20" t="s">
        <v>762</v>
      </c>
      <c r="B585" s="21" t="s">
        <v>54</v>
      </c>
      <c r="C585" s="21" t="s">
        <v>405</v>
      </c>
      <c r="D585" s="22" t="s">
        <v>760</v>
      </c>
      <c r="E585" s="56"/>
      <c r="F585" s="294">
        <f>F586</f>
        <v>300</v>
      </c>
      <c r="G585" s="17"/>
      <c r="H585" s="13"/>
    </row>
    <row r="586" spans="1:8" ht="47.25" customHeight="1" x14ac:dyDescent="0.2">
      <c r="A586" s="20" t="s">
        <v>762</v>
      </c>
      <c r="B586" s="21" t="s">
        <v>54</v>
      </c>
      <c r="C586" s="21" t="s">
        <v>405</v>
      </c>
      <c r="D586" s="22" t="s">
        <v>761</v>
      </c>
      <c r="E586" s="56"/>
      <c r="F586" s="294">
        <f>F587</f>
        <v>300</v>
      </c>
      <c r="G586" s="17"/>
      <c r="H586" s="13"/>
    </row>
    <row r="587" spans="1:8" ht="18.75" customHeight="1" x14ac:dyDescent="0.2">
      <c r="A587" s="20" t="s">
        <v>403</v>
      </c>
      <c r="B587" s="21" t="s">
        <v>54</v>
      </c>
      <c r="C587" s="21" t="s">
        <v>405</v>
      </c>
      <c r="D587" s="22" t="s">
        <v>761</v>
      </c>
      <c r="E587" s="56">
        <v>310</v>
      </c>
      <c r="F587" s="294">
        <v>300</v>
      </c>
      <c r="G587" s="17"/>
      <c r="H587" s="13"/>
    </row>
    <row r="588" spans="1:8" ht="64.5" customHeight="1" x14ac:dyDescent="0.2">
      <c r="A588" s="20" t="s">
        <v>765</v>
      </c>
      <c r="B588" s="21" t="s">
        <v>54</v>
      </c>
      <c r="C588" s="21" t="s">
        <v>405</v>
      </c>
      <c r="D588" s="22" t="s">
        <v>763</v>
      </c>
      <c r="E588" s="56"/>
      <c r="F588" s="294">
        <f>F589</f>
        <v>500</v>
      </c>
      <c r="G588" s="17"/>
      <c r="H588" s="13"/>
    </row>
    <row r="589" spans="1:8" ht="63" customHeight="1" x14ac:dyDescent="0.2">
      <c r="A589" s="20" t="s">
        <v>765</v>
      </c>
      <c r="B589" s="21" t="s">
        <v>54</v>
      </c>
      <c r="C589" s="21" t="s">
        <v>405</v>
      </c>
      <c r="D589" s="22" t="s">
        <v>764</v>
      </c>
      <c r="E589" s="56"/>
      <c r="F589" s="294">
        <f>F590</f>
        <v>500</v>
      </c>
      <c r="G589" s="17"/>
      <c r="H589" s="13"/>
    </row>
    <row r="590" spans="1:8" ht="15.75" customHeight="1" x14ac:dyDescent="0.2">
      <c r="A590" s="20" t="s">
        <v>403</v>
      </c>
      <c r="B590" s="21" t="s">
        <v>54</v>
      </c>
      <c r="C590" s="21" t="s">
        <v>405</v>
      </c>
      <c r="D590" s="22" t="s">
        <v>764</v>
      </c>
      <c r="E590" s="56">
        <v>310</v>
      </c>
      <c r="F590" s="294">
        <v>500</v>
      </c>
      <c r="G590" s="17"/>
      <c r="H590" s="13"/>
    </row>
    <row r="591" spans="1:8" ht="78" customHeight="1" x14ac:dyDescent="0.2">
      <c r="A591" s="229" t="s">
        <v>976</v>
      </c>
      <c r="B591" s="21" t="s">
        <v>54</v>
      </c>
      <c r="C591" s="21" t="s">
        <v>405</v>
      </c>
      <c r="D591" s="22" t="s">
        <v>975</v>
      </c>
      <c r="E591" s="56"/>
      <c r="F591" s="294">
        <f>F592</f>
        <v>4833</v>
      </c>
      <c r="G591" s="17"/>
      <c r="H591" s="13"/>
    </row>
    <row r="592" spans="1:8" ht="86.25" customHeight="1" x14ac:dyDescent="0.2">
      <c r="A592" s="20" t="s">
        <v>976</v>
      </c>
      <c r="B592" s="21" t="s">
        <v>54</v>
      </c>
      <c r="C592" s="21" t="s">
        <v>405</v>
      </c>
      <c r="D592" s="22" t="s">
        <v>974</v>
      </c>
      <c r="E592" s="56"/>
      <c r="F592" s="294">
        <f>F593</f>
        <v>4833</v>
      </c>
      <c r="G592" s="2"/>
      <c r="H592" s="13"/>
    </row>
    <row r="593" spans="1:8" ht="15.75" customHeight="1" x14ac:dyDescent="0.2">
      <c r="A593" s="20" t="s">
        <v>403</v>
      </c>
      <c r="B593" s="21" t="s">
        <v>54</v>
      </c>
      <c r="C593" s="21" t="s">
        <v>405</v>
      </c>
      <c r="D593" s="22" t="s">
        <v>974</v>
      </c>
      <c r="E593" s="56">
        <v>310</v>
      </c>
      <c r="F593" s="294">
        <v>4833</v>
      </c>
      <c r="G593" s="17"/>
      <c r="H593" s="13"/>
    </row>
    <row r="594" spans="1:8" ht="16.5" customHeight="1" x14ac:dyDescent="0.2">
      <c r="A594" s="20" t="s">
        <v>980</v>
      </c>
      <c r="B594" s="21" t="s">
        <v>54</v>
      </c>
      <c r="C594" s="21" t="s">
        <v>405</v>
      </c>
      <c r="D594" s="22" t="s">
        <v>978</v>
      </c>
      <c r="E594" s="56"/>
      <c r="F594" s="294">
        <f>F595</f>
        <v>30000</v>
      </c>
      <c r="G594" s="17"/>
      <c r="H594" s="13"/>
    </row>
    <row r="595" spans="1:8" ht="50.25" customHeight="1" x14ac:dyDescent="0.2">
      <c r="A595" s="20" t="s">
        <v>979</v>
      </c>
      <c r="B595" s="21" t="s">
        <v>54</v>
      </c>
      <c r="C595" s="21" t="s">
        <v>405</v>
      </c>
      <c r="D595" s="22" t="s">
        <v>977</v>
      </c>
      <c r="E595" s="56"/>
      <c r="F595" s="294">
        <f>F596</f>
        <v>30000</v>
      </c>
      <c r="G595" s="17"/>
      <c r="H595" s="13"/>
    </row>
    <row r="596" spans="1:8" ht="33.75" customHeight="1" x14ac:dyDescent="0.2">
      <c r="A596" s="14" t="s">
        <v>206</v>
      </c>
      <c r="B596" s="21" t="s">
        <v>54</v>
      </c>
      <c r="C596" s="21" t="s">
        <v>405</v>
      </c>
      <c r="D596" s="22" t="s">
        <v>977</v>
      </c>
      <c r="E596" s="56">
        <v>810</v>
      </c>
      <c r="F596" s="294">
        <f>30000-1311+1311</f>
        <v>30000</v>
      </c>
      <c r="G596" s="17"/>
      <c r="H596" s="13"/>
    </row>
    <row r="597" spans="1:8" ht="38.25" customHeight="1" x14ac:dyDescent="0.2">
      <c r="A597" s="369" t="s">
        <v>1110</v>
      </c>
      <c r="B597" s="21" t="s">
        <v>54</v>
      </c>
      <c r="C597" s="21" t="s">
        <v>405</v>
      </c>
      <c r="D597" s="22" t="s">
        <v>1108</v>
      </c>
      <c r="E597" s="56"/>
      <c r="F597" s="294">
        <f>F598</f>
        <v>237</v>
      </c>
      <c r="G597" s="17"/>
      <c r="H597" s="13"/>
    </row>
    <row r="598" spans="1:8" ht="33.75" customHeight="1" x14ac:dyDescent="0.2">
      <c r="A598" s="370" t="s">
        <v>1109</v>
      </c>
      <c r="B598" s="21" t="s">
        <v>54</v>
      </c>
      <c r="C598" s="21" t="s">
        <v>405</v>
      </c>
      <c r="D598" s="22" t="s">
        <v>1107</v>
      </c>
      <c r="E598" s="56"/>
      <c r="F598" s="294">
        <f>F599</f>
        <v>237</v>
      </c>
      <c r="G598" s="17"/>
      <c r="H598" s="13"/>
    </row>
    <row r="599" spans="1:8" ht="33.75" customHeight="1" x14ac:dyDescent="0.2">
      <c r="A599" s="14" t="s">
        <v>206</v>
      </c>
      <c r="B599" s="21" t="s">
        <v>54</v>
      </c>
      <c r="C599" s="21" t="s">
        <v>405</v>
      </c>
      <c r="D599" s="22" t="s">
        <v>1107</v>
      </c>
      <c r="E599" s="56">
        <v>810</v>
      </c>
      <c r="F599" s="294">
        <f>237</f>
        <v>237</v>
      </c>
      <c r="G599" s="17"/>
      <c r="H599" s="13"/>
    </row>
    <row r="600" spans="1:8" ht="15.75" customHeight="1" x14ac:dyDescent="0.2">
      <c r="A600" s="20" t="s">
        <v>36</v>
      </c>
      <c r="B600" s="21">
        <v>902</v>
      </c>
      <c r="C600" s="21">
        <v>1003</v>
      </c>
      <c r="D600" s="22" t="s">
        <v>37</v>
      </c>
      <c r="E600" s="56"/>
      <c r="F600" s="294">
        <f>F601+F603</f>
        <v>450.8</v>
      </c>
      <c r="G600" s="17"/>
      <c r="H600" s="13"/>
    </row>
    <row r="601" spans="1:8" ht="36" customHeight="1" x14ac:dyDescent="0.2">
      <c r="A601" s="20" t="s">
        <v>845</v>
      </c>
      <c r="B601" s="21" t="s">
        <v>54</v>
      </c>
      <c r="C601" s="21" t="s">
        <v>405</v>
      </c>
      <c r="D601" s="22" t="s">
        <v>844</v>
      </c>
      <c r="E601" s="56"/>
      <c r="F601" s="294">
        <f>F602</f>
        <v>450.8</v>
      </c>
      <c r="G601" s="178"/>
      <c r="H601" s="13"/>
    </row>
    <row r="602" spans="1:8" ht="24" customHeight="1" x14ac:dyDescent="0.2">
      <c r="A602" s="20" t="s">
        <v>403</v>
      </c>
      <c r="B602" s="21" t="s">
        <v>54</v>
      </c>
      <c r="C602" s="21" t="s">
        <v>405</v>
      </c>
      <c r="D602" s="22" t="s">
        <v>844</v>
      </c>
      <c r="E602" s="56">
        <v>310</v>
      </c>
      <c r="F602" s="294">
        <v>450.8</v>
      </c>
      <c r="G602" s="212"/>
      <c r="H602" s="13"/>
    </row>
    <row r="603" spans="1:8" ht="35.25" customHeight="1" x14ac:dyDescent="0.2">
      <c r="A603" s="20" t="s">
        <v>845</v>
      </c>
      <c r="B603" s="21" t="s">
        <v>54</v>
      </c>
      <c r="C603" s="21" t="s">
        <v>405</v>
      </c>
      <c r="D603" s="22" t="s">
        <v>872</v>
      </c>
      <c r="E603" s="56"/>
      <c r="F603" s="294">
        <f>F604</f>
        <v>0</v>
      </c>
      <c r="G603" s="178"/>
      <c r="H603" s="13"/>
    </row>
    <row r="604" spans="1:8" ht="15.75" customHeight="1" x14ac:dyDescent="0.2">
      <c r="A604" s="20" t="s">
        <v>403</v>
      </c>
      <c r="B604" s="21" t="s">
        <v>54</v>
      </c>
      <c r="C604" s="21" t="s">
        <v>405</v>
      </c>
      <c r="D604" s="22" t="s">
        <v>872</v>
      </c>
      <c r="E604" s="56">
        <v>310</v>
      </c>
      <c r="F604" s="294">
        <v>0</v>
      </c>
      <c r="G604" s="345"/>
      <c r="H604" s="349"/>
    </row>
    <row r="605" spans="1:8" ht="15.75" customHeight="1" x14ac:dyDescent="0.2">
      <c r="A605" s="14" t="s">
        <v>45</v>
      </c>
      <c r="B605" s="21" t="s">
        <v>54</v>
      </c>
      <c r="C605" s="92">
        <v>1003</v>
      </c>
      <c r="D605" s="8" t="s">
        <v>46</v>
      </c>
      <c r="E605" s="7" t="s">
        <v>13</v>
      </c>
      <c r="F605" s="294">
        <f>F606</f>
        <v>746.1</v>
      </c>
      <c r="G605" s="178"/>
      <c r="H605" s="13"/>
    </row>
    <row r="606" spans="1:8" ht="31.5" customHeight="1" x14ac:dyDescent="0.2">
      <c r="A606" s="97" t="s">
        <v>845</v>
      </c>
      <c r="B606" s="21" t="s">
        <v>54</v>
      </c>
      <c r="C606" s="92">
        <v>1003</v>
      </c>
      <c r="D606" s="8" t="s">
        <v>864</v>
      </c>
      <c r="E606" s="95"/>
      <c r="F606" s="294">
        <f>SUM(F607:F607)</f>
        <v>746.1</v>
      </c>
      <c r="G606" s="178"/>
      <c r="H606" s="13"/>
    </row>
    <row r="607" spans="1:8" ht="15.75" customHeight="1" x14ac:dyDescent="0.2">
      <c r="A607" s="14" t="s">
        <v>403</v>
      </c>
      <c r="B607" s="21" t="s">
        <v>54</v>
      </c>
      <c r="C607" s="92">
        <v>1003</v>
      </c>
      <c r="D607" s="8" t="s">
        <v>864</v>
      </c>
      <c r="E607" s="95">
        <v>310</v>
      </c>
      <c r="F607" s="294">
        <v>746.1</v>
      </c>
      <c r="G607" s="244"/>
      <c r="H607" s="13"/>
    </row>
    <row r="608" spans="1:8" ht="15.75" customHeight="1" x14ac:dyDescent="0.2">
      <c r="A608" s="20" t="s">
        <v>454</v>
      </c>
      <c r="B608" s="21">
        <v>902</v>
      </c>
      <c r="C608" s="21" t="s">
        <v>455</v>
      </c>
      <c r="D608" s="22" t="s">
        <v>13</v>
      </c>
      <c r="E608" s="21" t="s">
        <v>13</v>
      </c>
      <c r="F608" s="294">
        <f>F609</f>
        <v>175000</v>
      </c>
      <c r="G608" s="16"/>
      <c r="H608" s="13"/>
    </row>
    <row r="609" spans="1:8" ht="31.5" customHeight="1" x14ac:dyDescent="0.2">
      <c r="A609" s="20" t="s">
        <v>349</v>
      </c>
      <c r="B609" s="21">
        <v>902</v>
      </c>
      <c r="C609" s="21" t="s">
        <v>455</v>
      </c>
      <c r="D609" s="22" t="s">
        <v>350</v>
      </c>
      <c r="E609" s="21" t="s">
        <v>13</v>
      </c>
      <c r="F609" s="294">
        <f>F610</f>
        <v>175000</v>
      </c>
      <c r="G609" s="12"/>
      <c r="H609" s="13"/>
    </row>
    <row r="610" spans="1:8" ht="31.5" customHeight="1" x14ac:dyDescent="0.2">
      <c r="A610" s="20" t="s">
        <v>456</v>
      </c>
      <c r="B610" s="21">
        <v>902</v>
      </c>
      <c r="C610" s="21" t="s">
        <v>455</v>
      </c>
      <c r="D610" s="22" t="s">
        <v>457</v>
      </c>
      <c r="E610" s="21" t="s">
        <v>13</v>
      </c>
      <c r="F610" s="294">
        <f>F611</f>
        <v>175000</v>
      </c>
      <c r="G610" s="12"/>
      <c r="H610" s="13"/>
    </row>
    <row r="611" spans="1:8" ht="15.75" customHeight="1" x14ac:dyDescent="0.2">
      <c r="A611" s="20" t="s">
        <v>458</v>
      </c>
      <c r="B611" s="21">
        <v>902</v>
      </c>
      <c r="C611" s="21" t="s">
        <v>455</v>
      </c>
      <c r="D611" s="22" t="s">
        <v>459</v>
      </c>
      <c r="E611" s="21"/>
      <c r="F611" s="294">
        <f>F612+F614+F616</f>
        <v>175000</v>
      </c>
      <c r="G611" s="12"/>
      <c r="H611" s="13"/>
    </row>
    <row r="612" spans="1:8" ht="32.25" customHeight="1" x14ac:dyDescent="0.2">
      <c r="A612" s="20" t="s">
        <v>73</v>
      </c>
      <c r="B612" s="21">
        <v>902</v>
      </c>
      <c r="C612" s="21" t="s">
        <v>455</v>
      </c>
      <c r="D612" s="22" t="s">
        <v>460</v>
      </c>
      <c r="E612" s="21"/>
      <c r="F612" s="294">
        <f>F613</f>
        <v>162465.60000000001</v>
      </c>
      <c r="G612" s="12"/>
      <c r="H612" s="13"/>
    </row>
    <row r="613" spans="1:8" ht="35.25" customHeight="1" x14ac:dyDescent="0.2">
      <c r="A613" s="57" t="s">
        <v>292</v>
      </c>
      <c r="B613" s="21">
        <v>902</v>
      </c>
      <c r="C613" s="21" t="s">
        <v>455</v>
      </c>
      <c r="D613" s="22" t="s">
        <v>460</v>
      </c>
      <c r="E613" s="21">
        <v>412</v>
      </c>
      <c r="F613" s="294">
        <f>162465.6</f>
        <v>162465.60000000001</v>
      </c>
      <c r="G613" s="140"/>
      <c r="H613" s="13"/>
    </row>
    <row r="614" spans="1:8" ht="35.25" customHeight="1" x14ac:dyDescent="0.2">
      <c r="A614" s="57" t="s">
        <v>1102</v>
      </c>
      <c r="B614" s="21">
        <v>902</v>
      </c>
      <c r="C614" s="21">
        <v>1004</v>
      </c>
      <c r="D614" s="22" t="s">
        <v>1103</v>
      </c>
      <c r="E614" s="21"/>
      <c r="F614" s="294">
        <v>5389.8</v>
      </c>
      <c r="G614" s="140"/>
      <c r="H614" s="13"/>
    </row>
    <row r="615" spans="1:8" ht="35.25" customHeight="1" x14ac:dyDescent="0.2">
      <c r="A615" s="57" t="s">
        <v>292</v>
      </c>
      <c r="B615" s="21">
        <v>902</v>
      </c>
      <c r="C615" s="21">
        <v>1004</v>
      </c>
      <c r="D615" s="22" t="s">
        <v>1103</v>
      </c>
      <c r="E615" s="21">
        <v>412</v>
      </c>
      <c r="F615" s="294">
        <v>5389.8</v>
      </c>
      <c r="G615" s="140"/>
      <c r="H615" s="13"/>
    </row>
    <row r="616" spans="1:8" ht="35.25" customHeight="1" x14ac:dyDescent="0.2">
      <c r="A616" s="57" t="s">
        <v>1102</v>
      </c>
      <c r="B616" s="21">
        <v>902</v>
      </c>
      <c r="C616" s="21">
        <v>1004</v>
      </c>
      <c r="D616" s="22" t="s">
        <v>1104</v>
      </c>
      <c r="E616" s="21"/>
      <c r="F616" s="294">
        <v>7144.6</v>
      </c>
      <c r="G616" s="140"/>
      <c r="H616" s="13"/>
    </row>
    <row r="617" spans="1:8" ht="35.25" customHeight="1" x14ac:dyDescent="0.2">
      <c r="A617" s="57" t="s">
        <v>292</v>
      </c>
      <c r="B617" s="21">
        <v>902</v>
      </c>
      <c r="C617" s="21">
        <v>1004</v>
      </c>
      <c r="D617" s="22" t="s">
        <v>1104</v>
      </c>
      <c r="E617" s="21">
        <v>412</v>
      </c>
      <c r="F617" s="294">
        <v>7144.6</v>
      </c>
      <c r="G617" s="140"/>
      <c r="H617" s="13"/>
    </row>
    <row r="618" spans="1:8" ht="15.75" customHeight="1" x14ac:dyDescent="0.2">
      <c r="A618" s="20" t="s">
        <v>462</v>
      </c>
      <c r="B618" s="21" t="s">
        <v>54</v>
      </c>
      <c r="C618" s="21" t="s">
        <v>463</v>
      </c>
      <c r="D618" s="22" t="s">
        <v>13</v>
      </c>
      <c r="E618" s="21" t="s">
        <v>13</v>
      </c>
      <c r="F618" s="294">
        <f>F626+F619</f>
        <v>45692.6</v>
      </c>
      <c r="G618" s="12"/>
      <c r="H618" s="13"/>
    </row>
    <row r="619" spans="1:8" ht="47.25" customHeight="1" x14ac:dyDescent="0.2">
      <c r="A619" s="111" t="s">
        <v>672</v>
      </c>
      <c r="B619" s="21" t="s">
        <v>54</v>
      </c>
      <c r="C619" s="21" t="s">
        <v>463</v>
      </c>
      <c r="D619" s="22" t="s">
        <v>673</v>
      </c>
      <c r="E619" s="21"/>
      <c r="F619" s="294">
        <f>F620+F624+F622</f>
        <v>484.9</v>
      </c>
      <c r="G619" s="12"/>
      <c r="H619" s="163"/>
    </row>
    <row r="620" spans="1:8" ht="117" customHeight="1" x14ac:dyDescent="0.2">
      <c r="A620" s="20" t="s">
        <v>757</v>
      </c>
      <c r="B620" s="21" t="s">
        <v>54</v>
      </c>
      <c r="C620" s="21" t="s">
        <v>463</v>
      </c>
      <c r="D620" s="22" t="s">
        <v>756</v>
      </c>
      <c r="E620" s="21"/>
      <c r="F620" s="294">
        <f>F621</f>
        <v>151.1</v>
      </c>
      <c r="G620" s="12"/>
      <c r="H620" s="163"/>
    </row>
    <row r="621" spans="1:8" ht="31.5" customHeight="1" x14ac:dyDescent="0.2">
      <c r="A621" s="14" t="s">
        <v>43</v>
      </c>
      <c r="B621" s="21" t="s">
        <v>54</v>
      </c>
      <c r="C621" s="21" t="s">
        <v>463</v>
      </c>
      <c r="D621" s="22" t="s">
        <v>756</v>
      </c>
      <c r="E621" s="21">
        <v>240</v>
      </c>
      <c r="F621" s="294">
        <v>151.1</v>
      </c>
      <c r="G621" s="125"/>
      <c r="H621" s="163"/>
    </row>
    <row r="622" spans="1:8" ht="110.25" customHeight="1" x14ac:dyDescent="0.2">
      <c r="A622" s="24" t="s">
        <v>757</v>
      </c>
      <c r="B622" s="21" t="s">
        <v>54</v>
      </c>
      <c r="C622" s="21" t="s">
        <v>463</v>
      </c>
      <c r="D622" s="22" t="s">
        <v>772</v>
      </c>
      <c r="E622" s="21"/>
      <c r="F622" s="294">
        <f>SUM(F623)</f>
        <v>308.7</v>
      </c>
      <c r="G622" s="126"/>
      <c r="H622" s="163"/>
    </row>
    <row r="623" spans="1:8" ht="31.5" customHeight="1" x14ac:dyDescent="0.2">
      <c r="A623" s="14" t="s">
        <v>43</v>
      </c>
      <c r="B623" s="21" t="s">
        <v>54</v>
      </c>
      <c r="C623" s="21" t="s">
        <v>463</v>
      </c>
      <c r="D623" s="22" t="s">
        <v>772</v>
      </c>
      <c r="E623" s="21">
        <v>240</v>
      </c>
      <c r="F623" s="294">
        <v>308.7</v>
      </c>
      <c r="G623" s="127"/>
      <c r="H623" s="163"/>
    </row>
    <row r="624" spans="1:8" ht="110.25" customHeight="1" x14ac:dyDescent="0.2">
      <c r="A624" s="20" t="s">
        <v>757</v>
      </c>
      <c r="B624" s="21" t="s">
        <v>54</v>
      </c>
      <c r="C624" s="21" t="s">
        <v>463</v>
      </c>
      <c r="D624" s="22" t="s">
        <v>758</v>
      </c>
      <c r="E624" s="21"/>
      <c r="F624" s="294">
        <f>F625</f>
        <v>25.1</v>
      </c>
      <c r="G624" s="12"/>
      <c r="H624" s="163"/>
    </row>
    <row r="625" spans="1:8" ht="31.5" customHeight="1" x14ac:dyDescent="0.2">
      <c r="A625" s="14" t="s">
        <v>43</v>
      </c>
      <c r="B625" s="21" t="s">
        <v>54</v>
      </c>
      <c r="C625" s="21" t="s">
        <v>463</v>
      </c>
      <c r="D625" s="22" t="s">
        <v>758</v>
      </c>
      <c r="E625" s="21">
        <v>240</v>
      </c>
      <c r="F625" s="294">
        <v>25.1</v>
      </c>
      <c r="G625" s="112"/>
      <c r="H625" s="163"/>
    </row>
    <row r="626" spans="1:8" ht="31.5" customHeight="1" x14ac:dyDescent="0.2">
      <c r="A626" s="20" t="s">
        <v>102</v>
      </c>
      <c r="B626" s="21" t="s">
        <v>54</v>
      </c>
      <c r="C626" s="21" t="s">
        <v>463</v>
      </c>
      <c r="D626" s="22" t="s">
        <v>103</v>
      </c>
      <c r="E626" s="21" t="s">
        <v>13</v>
      </c>
      <c r="F626" s="294">
        <f>F627+F648</f>
        <v>45207.7</v>
      </c>
      <c r="G626" s="12"/>
      <c r="H626" s="13"/>
    </row>
    <row r="627" spans="1:8" ht="18.75" customHeight="1" x14ac:dyDescent="0.2">
      <c r="A627" s="20" t="s">
        <v>464</v>
      </c>
      <c r="B627" s="21" t="s">
        <v>54</v>
      </c>
      <c r="C627" s="21" t="s">
        <v>463</v>
      </c>
      <c r="D627" s="22" t="s">
        <v>465</v>
      </c>
      <c r="E627" s="21" t="s">
        <v>13</v>
      </c>
      <c r="F627" s="294">
        <f>F628+F639+F642+F645</f>
        <v>35207.699999999997</v>
      </c>
      <c r="G627" s="12"/>
      <c r="H627" s="13"/>
    </row>
    <row r="628" spans="1:8" ht="19.5" customHeight="1" x14ac:dyDescent="0.2">
      <c r="A628" s="20" t="s">
        <v>466</v>
      </c>
      <c r="B628" s="21" t="s">
        <v>54</v>
      </c>
      <c r="C628" s="21" t="s">
        <v>463</v>
      </c>
      <c r="D628" s="22" t="s">
        <v>467</v>
      </c>
      <c r="E628" s="21"/>
      <c r="F628" s="294">
        <f>F629+F631+F633+F636</f>
        <v>32636.7</v>
      </c>
      <c r="G628" s="58"/>
      <c r="H628" s="13"/>
    </row>
    <row r="629" spans="1:8" ht="15.75" customHeight="1" x14ac:dyDescent="0.2">
      <c r="A629" s="20" t="s">
        <v>234</v>
      </c>
      <c r="B629" s="21" t="s">
        <v>54</v>
      </c>
      <c r="C629" s="21">
        <v>1006</v>
      </c>
      <c r="D629" s="22" t="s">
        <v>468</v>
      </c>
      <c r="E629" s="21"/>
      <c r="F629" s="294">
        <f>F630</f>
        <v>10000</v>
      </c>
      <c r="G629" s="58"/>
      <c r="H629" s="13"/>
    </row>
    <row r="630" spans="1:8" ht="31.5" customHeight="1" x14ac:dyDescent="0.2">
      <c r="A630" s="20" t="s">
        <v>292</v>
      </c>
      <c r="B630" s="21" t="s">
        <v>54</v>
      </c>
      <c r="C630" s="21">
        <v>1006</v>
      </c>
      <c r="D630" s="22" t="s">
        <v>468</v>
      </c>
      <c r="E630" s="21" t="s">
        <v>461</v>
      </c>
      <c r="F630" s="294">
        <v>10000</v>
      </c>
      <c r="G630" s="133"/>
      <c r="H630" s="13"/>
    </row>
    <row r="631" spans="1:8" ht="31.5" customHeight="1" x14ac:dyDescent="0.2">
      <c r="A631" s="20" t="s">
        <v>82</v>
      </c>
      <c r="B631" s="21" t="s">
        <v>54</v>
      </c>
      <c r="C631" s="21">
        <v>1006</v>
      </c>
      <c r="D631" s="22" t="s">
        <v>469</v>
      </c>
      <c r="E631" s="21"/>
      <c r="F631" s="294">
        <f>F632</f>
        <v>3525</v>
      </c>
      <c r="G631" s="123"/>
      <c r="H631" s="13"/>
    </row>
    <row r="632" spans="1:8" ht="31.5" customHeight="1" x14ac:dyDescent="0.2">
      <c r="A632" s="14" t="s">
        <v>43</v>
      </c>
      <c r="B632" s="21" t="s">
        <v>54</v>
      </c>
      <c r="C632" s="21">
        <v>1006</v>
      </c>
      <c r="D632" s="22" t="s">
        <v>469</v>
      </c>
      <c r="E632" s="21">
        <v>240</v>
      </c>
      <c r="F632" s="294">
        <f>1825+1700</f>
        <v>3525</v>
      </c>
      <c r="G632" s="17"/>
      <c r="H632" s="13"/>
    </row>
    <row r="633" spans="1:8" ht="31.5" customHeight="1" x14ac:dyDescent="0.2">
      <c r="A633" s="105" t="s">
        <v>1046</v>
      </c>
      <c r="B633" s="21" t="s">
        <v>54</v>
      </c>
      <c r="C633" s="21">
        <v>1006</v>
      </c>
      <c r="D633" s="22" t="s">
        <v>1047</v>
      </c>
      <c r="E633" s="21"/>
      <c r="F633" s="294">
        <f>F634+F635</f>
        <v>17111.7</v>
      </c>
      <c r="G633" s="162"/>
      <c r="H633" s="13"/>
    </row>
    <row r="634" spans="1:8" ht="31.5" customHeight="1" x14ac:dyDescent="0.2">
      <c r="A634" s="14" t="s">
        <v>221</v>
      </c>
      <c r="B634" s="21" t="s">
        <v>54</v>
      </c>
      <c r="C634" s="21">
        <v>1006</v>
      </c>
      <c r="D634" s="22" t="s">
        <v>1047</v>
      </c>
      <c r="E634" s="21">
        <v>414</v>
      </c>
      <c r="F634" s="294">
        <f>17111.7-10000</f>
        <v>7111.7000000000007</v>
      </c>
      <c r="G634" s="162"/>
      <c r="H634" s="13"/>
    </row>
    <row r="635" spans="1:8" ht="31.5" customHeight="1" x14ac:dyDescent="0.2">
      <c r="A635" s="14" t="s">
        <v>43</v>
      </c>
      <c r="B635" s="21" t="s">
        <v>54</v>
      </c>
      <c r="C635" s="21">
        <v>1006</v>
      </c>
      <c r="D635" s="22" t="s">
        <v>1047</v>
      </c>
      <c r="E635" s="21">
        <v>240</v>
      </c>
      <c r="F635" s="294">
        <v>10000</v>
      </c>
      <c r="G635" s="374"/>
      <c r="H635" s="349"/>
    </row>
    <row r="636" spans="1:8" ht="69.75" customHeight="1" x14ac:dyDescent="0.2">
      <c r="A636" s="20" t="s">
        <v>954</v>
      </c>
      <c r="B636" s="21" t="s">
        <v>54</v>
      </c>
      <c r="C636" s="21">
        <v>1006</v>
      </c>
      <c r="D636" s="22" t="s">
        <v>928</v>
      </c>
      <c r="E636" s="21"/>
      <c r="F636" s="294">
        <f>F637+F638</f>
        <v>2000</v>
      </c>
      <c r="G636" s="38"/>
      <c r="H636" s="13"/>
    </row>
    <row r="637" spans="1:8" ht="31.5" customHeight="1" x14ac:dyDescent="0.2">
      <c r="A637" s="20" t="s">
        <v>221</v>
      </c>
      <c r="B637" s="21" t="s">
        <v>54</v>
      </c>
      <c r="C637" s="21">
        <v>1006</v>
      </c>
      <c r="D637" s="22" t="s">
        <v>928</v>
      </c>
      <c r="E637" s="21">
        <v>414</v>
      </c>
      <c r="F637" s="294">
        <f>2000-100</f>
        <v>1900</v>
      </c>
      <c r="G637" s="38"/>
      <c r="H637" s="13"/>
    </row>
    <row r="638" spans="1:8" ht="31.5" customHeight="1" x14ac:dyDescent="0.2">
      <c r="A638" s="20" t="s">
        <v>43</v>
      </c>
      <c r="B638" s="21" t="s">
        <v>54</v>
      </c>
      <c r="C638" s="21">
        <v>1006</v>
      </c>
      <c r="D638" s="22" t="s">
        <v>928</v>
      </c>
      <c r="E638" s="21">
        <v>240</v>
      </c>
      <c r="F638" s="294">
        <v>100</v>
      </c>
      <c r="G638" s="374"/>
      <c r="H638" s="349"/>
    </row>
    <row r="639" spans="1:8" ht="31.5" customHeight="1" x14ac:dyDescent="0.2">
      <c r="A639" s="20" t="s">
        <v>470</v>
      </c>
      <c r="B639" s="21" t="s">
        <v>54</v>
      </c>
      <c r="C639" s="21" t="s">
        <v>463</v>
      </c>
      <c r="D639" s="22" t="s">
        <v>471</v>
      </c>
      <c r="E639" s="21" t="s">
        <v>13</v>
      </c>
      <c r="F639" s="294">
        <f>F640</f>
        <v>851</v>
      </c>
      <c r="G639" s="263"/>
      <c r="H639" s="13"/>
    </row>
    <row r="640" spans="1:8" ht="31.5" customHeight="1" x14ac:dyDescent="0.2">
      <c r="A640" s="20" t="s">
        <v>82</v>
      </c>
      <c r="B640" s="21" t="s">
        <v>54</v>
      </c>
      <c r="C640" s="21" t="s">
        <v>463</v>
      </c>
      <c r="D640" s="22" t="s">
        <v>472</v>
      </c>
      <c r="E640" s="21"/>
      <c r="F640" s="294">
        <f>F641</f>
        <v>851</v>
      </c>
      <c r="G640" s="263"/>
      <c r="H640" s="13"/>
    </row>
    <row r="641" spans="1:8" ht="31.5" customHeight="1" x14ac:dyDescent="0.2">
      <c r="A641" s="14" t="s">
        <v>43</v>
      </c>
      <c r="B641" s="21" t="s">
        <v>54</v>
      </c>
      <c r="C641" s="21" t="s">
        <v>463</v>
      </c>
      <c r="D641" s="22" t="s">
        <v>472</v>
      </c>
      <c r="E641" s="21">
        <v>240</v>
      </c>
      <c r="F641" s="294">
        <v>851</v>
      </c>
      <c r="G641" s="192"/>
      <c r="H641" s="13"/>
    </row>
    <row r="642" spans="1:8" ht="47.25" customHeight="1" x14ac:dyDescent="0.2">
      <c r="A642" s="24" t="s">
        <v>473</v>
      </c>
      <c r="B642" s="21" t="s">
        <v>54</v>
      </c>
      <c r="C642" s="21" t="s">
        <v>463</v>
      </c>
      <c r="D642" s="22" t="s">
        <v>474</v>
      </c>
      <c r="E642" s="21" t="s">
        <v>13</v>
      </c>
      <c r="F642" s="294">
        <f>F643</f>
        <v>600</v>
      </c>
      <c r="G642" s="263"/>
      <c r="H642" s="13"/>
    </row>
    <row r="643" spans="1:8" ht="47.25" customHeight="1" x14ac:dyDescent="0.2">
      <c r="A643" s="24" t="s">
        <v>473</v>
      </c>
      <c r="B643" s="21" t="s">
        <v>54</v>
      </c>
      <c r="C643" s="21" t="s">
        <v>463</v>
      </c>
      <c r="D643" s="22" t="s">
        <v>475</v>
      </c>
      <c r="E643" s="21"/>
      <c r="F643" s="294">
        <f>F644</f>
        <v>600</v>
      </c>
      <c r="G643" s="263"/>
      <c r="H643" s="13"/>
    </row>
    <row r="644" spans="1:8" ht="31.5" customHeight="1" x14ac:dyDescent="0.2">
      <c r="A644" s="20" t="s">
        <v>476</v>
      </c>
      <c r="B644" s="21" t="s">
        <v>54</v>
      </c>
      <c r="C644" s="21" t="s">
        <v>463</v>
      </c>
      <c r="D644" s="22" t="s">
        <v>475</v>
      </c>
      <c r="E644" s="21">
        <v>630</v>
      </c>
      <c r="F644" s="294">
        <v>600</v>
      </c>
      <c r="G644" s="17"/>
      <c r="H644" s="13"/>
    </row>
    <row r="645" spans="1:8" ht="31.5" customHeight="1" x14ac:dyDescent="0.2">
      <c r="A645" s="20" t="s">
        <v>477</v>
      </c>
      <c r="B645" s="21" t="s">
        <v>54</v>
      </c>
      <c r="C645" s="21" t="s">
        <v>463</v>
      </c>
      <c r="D645" s="22" t="s">
        <v>478</v>
      </c>
      <c r="E645" s="21" t="s">
        <v>13</v>
      </c>
      <c r="F645" s="294">
        <f>F646</f>
        <v>1120</v>
      </c>
      <c r="G645" s="263"/>
      <c r="H645" s="13"/>
    </row>
    <row r="646" spans="1:8" ht="31.5" customHeight="1" x14ac:dyDescent="0.2">
      <c r="A646" s="20" t="s">
        <v>477</v>
      </c>
      <c r="B646" s="21" t="s">
        <v>54</v>
      </c>
      <c r="C646" s="21" t="s">
        <v>463</v>
      </c>
      <c r="D646" s="22" t="s">
        <v>479</v>
      </c>
      <c r="E646" s="21"/>
      <c r="F646" s="294">
        <f>F647</f>
        <v>1120</v>
      </c>
      <c r="G646" s="263"/>
      <c r="H646" s="13"/>
    </row>
    <row r="647" spans="1:8" x14ac:dyDescent="0.2">
      <c r="A647" s="20" t="s">
        <v>403</v>
      </c>
      <c r="B647" s="21" t="s">
        <v>54</v>
      </c>
      <c r="C647" s="21" t="s">
        <v>463</v>
      </c>
      <c r="D647" s="22" t="s">
        <v>479</v>
      </c>
      <c r="E647" s="21">
        <v>310</v>
      </c>
      <c r="F647" s="294">
        <v>1120</v>
      </c>
      <c r="G647" s="226"/>
      <c r="H647" s="13"/>
    </row>
    <row r="648" spans="1:8" ht="31.5" customHeight="1" x14ac:dyDescent="0.2">
      <c r="A648" s="20" t="s">
        <v>104</v>
      </c>
      <c r="B648" s="21" t="s">
        <v>54</v>
      </c>
      <c r="C648" s="21" t="s">
        <v>463</v>
      </c>
      <c r="D648" s="22" t="s">
        <v>105</v>
      </c>
      <c r="E648" s="21"/>
      <c r="F648" s="294">
        <f>F649</f>
        <v>10000</v>
      </c>
      <c r="G648" s="16"/>
      <c r="H648" s="13"/>
    </row>
    <row r="649" spans="1:8" ht="63" customHeight="1" x14ac:dyDescent="0.2">
      <c r="A649" s="20" t="s">
        <v>480</v>
      </c>
      <c r="B649" s="21" t="s">
        <v>54</v>
      </c>
      <c r="C649" s="21" t="s">
        <v>463</v>
      </c>
      <c r="D649" s="22" t="s">
        <v>1073</v>
      </c>
      <c r="E649" s="21"/>
      <c r="F649" s="294">
        <f>F650</f>
        <v>10000</v>
      </c>
      <c r="G649" s="16"/>
      <c r="H649" s="13"/>
    </row>
    <row r="650" spans="1:8" ht="63" customHeight="1" x14ac:dyDescent="0.2">
      <c r="A650" s="105" t="s">
        <v>234</v>
      </c>
      <c r="B650" s="21" t="s">
        <v>54</v>
      </c>
      <c r="C650" s="21" t="s">
        <v>463</v>
      </c>
      <c r="D650" s="22" t="s">
        <v>481</v>
      </c>
      <c r="E650" s="21"/>
      <c r="F650" s="294">
        <f>F651</f>
        <v>10000</v>
      </c>
      <c r="G650" s="16"/>
      <c r="H650" s="13"/>
    </row>
    <row r="651" spans="1:8" ht="32.25" customHeight="1" x14ac:dyDescent="0.2">
      <c r="A651" s="20" t="s">
        <v>292</v>
      </c>
      <c r="B651" s="21" t="s">
        <v>54</v>
      </c>
      <c r="C651" s="21" t="s">
        <v>463</v>
      </c>
      <c r="D651" s="22" t="s">
        <v>481</v>
      </c>
      <c r="E651" s="21">
        <v>412</v>
      </c>
      <c r="F651" s="294">
        <v>10000</v>
      </c>
      <c r="G651" s="32"/>
      <c r="H651" s="13"/>
    </row>
    <row r="652" spans="1:8" ht="15.75" customHeight="1" x14ac:dyDescent="0.2">
      <c r="A652" s="34" t="s">
        <v>482</v>
      </c>
      <c r="B652" s="35" t="s">
        <v>54</v>
      </c>
      <c r="C652" s="35" t="s">
        <v>483</v>
      </c>
      <c r="D652" s="36" t="s">
        <v>13</v>
      </c>
      <c r="E652" s="35" t="s">
        <v>13</v>
      </c>
      <c r="F652" s="297">
        <f>F653</f>
        <v>104981.8</v>
      </c>
      <c r="G652" s="263"/>
      <c r="H652" s="13"/>
    </row>
    <row r="653" spans="1:8" ht="15.75" customHeight="1" x14ac:dyDescent="0.2">
      <c r="A653" s="20" t="s">
        <v>484</v>
      </c>
      <c r="B653" s="21" t="s">
        <v>54</v>
      </c>
      <c r="C653" s="21" t="s">
        <v>485</v>
      </c>
      <c r="D653" s="22" t="s">
        <v>13</v>
      </c>
      <c r="E653" s="21" t="s">
        <v>13</v>
      </c>
      <c r="F653" s="294">
        <f>F654</f>
        <v>104981.8</v>
      </c>
      <c r="G653" s="263"/>
      <c r="H653" s="13"/>
    </row>
    <row r="654" spans="1:8" ht="31.5" customHeight="1" x14ac:dyDescent="0.2">
      <c r="A654" s="20" t="s">
        <v>323</v>
      </c>
      <c r="B654" s="21" t="s">
        <v>54</v>
      </c>
      <c r="C654" s="21" t="s">
        <v>485</v>
      </c>
      <c r="D654" s="22" t="s">
        <v>324</v>
      </c>
      <c r="E654" s="21" t="s">
        <v>13</v>
      </c>
      <c r="F654" s="294">
        <f>F655</f>
        <v>104981.8</v>
      </c>
      <c r="G654" s="12"/>
      <c r="H654" s="13"/>
    </row>
    <row r="655" spans="1:8" ht="47.25" customHeight="1" x14ac:dyDescent="0.2">
      <c r="A655" s="24" t="s">
        <v>486</v>
      </c>
      <c r="B655" s="21" t="s">
        <v>54</v>
      </c>
      <c r="C655" s="21" t="s">
        <v>485</v>
      </c>
      <c r="D655" s="22" t="s">
        <v>368</v>
      </c>
      <c r="E655" s="21" t="s">
        <v>13</v>
      </c>
      <c r="F655" s="294">
        <f>F660+F658+F656</f>
        <v>104981.8</v>
      </c>
      <c r="G655" s="12"/>
      <c r="H655" s="13"/>
    </row>
    <row r="656" spans="1:8" ht="47.25" customHeight="1" x14ac:dyDescent="0.2">
      <c r="A656" s="24" t="s">
        <v>1112</v>
      </c>
      <c r="B656" s="21">
        <v>902</v>
      </c>
      <c r="C656" s="21">
        <v>1102</v>
      </c>
      <c r="D656" s="22" t="s">
        <v>1114</v>
      </c>
      <c r="E656" s="21"/>
      <c r="F656" s="294">
        <f>F657</f>
        <v>384.7</v>
      </c>
      <c r="G656" s="12"/>
      <c r="H656" s="13"/>
    </row>
    <row r="657" spans="1:8" ht="47.25" customHeight="1" x14ac:dyDescent="0.2">
      <c r="A657" s="24" t="s">
        <v>221</v>
      </c>
      <c r="B657" s="21">
        <v>902</v>
      </c>
      <c r="C657" s="21">
        <v>1102</v>
      </c>
      <c r="D657" s="22" t="s">
        <v>1114</v>
      </c>
      <c r="E657" s="21">
        <v>414</v>
      </c>
      <c r="F657" s="294">
        <v>384.7</v>
      </c>
      <c r="G657" s="23"/>
      <c r="H657" s="13"/>
    </row>
    <row r="658" spans="1:8" ht="47.25" customHeight="1" x14ac:dyDescent="0.2">
      <c r="A658" s="14" t="s">
        <v>839</v>
      </c>
      <c r="B658" s="21" t="s">
        <v>54</v>
      </c>
      <c r="C658" s="21" t="s">
        <v>485</v>
      </c>
      <c r="D658" s="22" t="s">
        <v>1057</v>
      </c>
      <c r="E658" s="21"/>
      <c r="F658" s="294">
        <f>F659</f>
        <v>71608</v>
      </c>
      <c r="G658" s="12"/>
      <c r="H658" s="13"/>
    </row>
    <row r="659" spans="1:8" ht="47.25" customHeight="1" x14ac:dyDescent="0.2">
      <c r="A659" s="14" t="s">
        <v>221</v>
      </c>
      <c r="B659" s="21" t="s">
        <v>54</v>
      </c>
      <c r="C659" s="21" t="s">
        <v>485</v>
      </c>
      <c r="D659" s="22" t="s">
        <v>1057</v>
      </c>
      <c r="E659" s="21">
        <v>414</v>
      </c>
      <c r="F659" s="294">
        <v>71608</v>
      </c>
      <c r="G659" s="12"/>
      <c r="H659" s="13"/>
    </row>
    <row r="660" spans="1:8" ht="35.25" customHeight="1" x14ac:dyDescent="0.2">
      <c r="A660" s="20" t="s">
        <v>247</v>
      </c>
      <c r="B660" s="21" t="s">
        <v>54</v>
      </c>
      <c r="C660" s="21" t="s">
        <v>485</v>
      </c>
      <c r="D660" s="22" t="s">
        <v>487</v>
      </c>
      <c r="E660" s="21"/>
      <c r="F660" s="294">
        <f>F661</f>
        <v>32989.1</v>
      </c>
      <c r="G660" s="263"/>
      <c r="H660" s="13"/>
    </row>
    <row r="661" spans="1:8" ht="31.5" customHeight="1" x14ac:dyDescent="0.2">
      <c r="A661" s="20" t="s">
        <v>221</v>
      </c>
      <c r="B661" s="21" t="s">
        <v>54</v>
      </c>
      <c r="C661" s="21" t="s">
        <v>485</v>
      </c>
      <c r="D661" s="22" t="s">
        <v>487</v>
      </c>
      <c r="E661" s="21">
        <v>414</v>
      </c>
      <c r="F661" s="294">
        <f>30689.1+2300</f>
        <v>32989.1</v>
      </c>
      <c r="G661" s="263"/>
      <c r="H661" s="13"/>
    </row>
    <row r="662" spans="1:8" ht="15.75" customHeight="1" x14ac:dyDescent="0.2">
      <c r="A662" s="34" t="s">
        <v>488</v>
      </c>
      <c r="B662" s="35" t="s">
        <v>54</v>
      </c>
      <c r="C662" s="35" t="s">
        <v>489</v>
      </c>
      <c r="D662" s="36" t="s">
        <v>13</v>
      </c>
      <c r="E662" s="35" t="s">
        <v>13</v>
      </c>
      <c r="F662" s="297">
        <f>F663+F671</f>
        <v>48848</v>
      </c>
      <c r="G662" s="12"/>
      <c r="H662" s="13"/>
    </row>
    <row r="663" spans="1:8" ht="15.75" customHeight="1" x14ac:dyDescent="0.2">
      <c r="A663" s="20" t="s">
        <v>490</v>
      </c>
      <c r="B663" s="21" t="s">
        <v>54</v>
      </c>
      <c r="C663" s="21" t="s">
        <v>491</v>
      </c>
      <c r="D663" s="22" t="s">
        <v>13</v>
      </c>
      <c r="E663" s="21" t="s">
        <v>13</v>
      </c>
      <c r="F663" s="294">
        <f>F664</f>
        <v>20826</v>
      </c>
      <c r="G663" s="12"/>
      <c r="H663" s="13"/>
    </row>
    <row r="664" spans="1:8" ht="47.25" customHeight="1" x14ac:dyDescent="0.2">
      <c r="A664" s="20" t="s">
        <v>111</v>
      </c>
      <c r="B664" s="21" t="s">
        <v>54</v>
      </c>
      <c r="C664" s="21" t="s">
        <v>491</v>
      </c>
      <c r="D664" s="22" t="s">
        <v>112</v>
      </c>
      <c r="E664" s="21" t="s">
        <v>13</v>
      </c>
      <c r="F664" s="294">
        <f>F665</f>
        <v>20826</v>
      </c>
      <c r="G664" s="12"/>
      <c r="H664" s="13"/>
    </row>
    <row r="665" spans="1:8" ht="47.25" customHeight="1" x14ac:dyDescent="0.2">
      <c r="A665" s="20" t="s">
        <v>492</v>
      </c>
      <c r="B665" s="21" t="s">
        <v>54</v>
      </c>
      <c r="C665" s="21" t="s">
        <v>491</v>
      </c>
      <c r="D665" s="22" t="s">
        <v>493</v>
      </c>
      <c r="E665" s="21" t="s">
        <v>13</v>
      </c>
      <c r="F665" s="294">
        <f>F666</f>
        <v>20826</v>
      </c>
      <c r="G665" s="12"/>
      <c r="H665" s="13"/>
    </row>
    <row r="666" spans="1:8" ht="31.5" customHeight="1" x14ac:dyDescent="0.2">
      <c r="A666" s="20" t="s">
        <v>494</v>
      </c>
      <c r="B666" s="21" t="s">
        <v>54</v>
      </c>
      <c r="C666" s="21" t="s">
        <v>491</v>
      </c>
      <c r="D666" s="22" t="s">
        <v>495</v>
      </c>
      <c r="E666" s="21" t="s">
        <v>13</v>
      </c>
      <c r="F666" s="294">
        <f>F667+F669</f>
        <v>20826</v>
      </c>
      <c r="G666" s="12"/>
      <c r="H666" s="13"/>
    </row>
    <row r="667" spans="1:8" ht="31.5" customHeight="1" x14ac:dyDescent="0.2">
      <c r="A667" s="20" t="s">
        <v>40</v>
      </c>
      <c r="B667" s="21" t="s">
        <v>54</v>
      </c>
      <c r="C667" s="21" t="s">
        <v>491</v>
      </c>
      <c r="D667" s="22" t="s">
        <v>496</v>
      </c>
      <c r="E667" s="21"/>
      <c r="F667" s="294">
        <f>F668</f>
        <v>250</v>
      </c>
      <c r="G667" s="12"/>
      <c r="H667" s="13"/>
    </row>
    <row r="668" spans="1:8" ht="47.25" customHeight="1" x14ac:dyDescent="0.2">
      <c r="A668" s="20" t="s">
        <v>997</v>
      </c>
      <c r="B668" s="21" t="s">
        <v>54</v>
      </c>
      <c r="C668" s="21" t="s">
        <v>491</v>
      </c>
      <c r="D668" s="22" t="s">
        <v>496</v>
      </c>
      <c r="E668" s="21">
        <v>620</v>
      </c>
      <c r="F668" s="294">
        <v>250</v>
      </c>
      <c r="G668" s="108"/>
      <c r="H668" s="13"/>
    </row>
    <row r="669" spans="1:8" ht="49.5" customHeight="1" x14ac:dyDescent="0.2">
      <c r="A669" s="20" t="s">
        <v>855</v>
      </c>
      <c r="B669" s="21">
        <v>902</v>
      </c>
      <c r="C669" s="21">
        <v>1202</v>
      </c>
      <c r="D669" s="22" t="s">
        <v>854</v>
      </c>
      <c r="E669" s="21"/>
      <c r="F669" s="294">
        <f>F670</f>
        <v>20576</v>
      </c>
      <c r="G669" s="108"/>
      <c r="H669" s="13"/>
    </row>
    <row r="670" spans="1:8" ht="18" customHeight="1" x14ac:dyDescent="0.2">
      <c r="A670" s="20" t="s">
        <v>997</v>
      </c>
      <c r="B670" s="21">
        <v>902</v>
      </c>
      <c r="C670" s="21">
        <v>1202</v>
      </c>
      <c r="D670" s="22" t="s">
        <v>854</v>
      </c>
      <c r="E670" s="21">
        <v>620</v>
      </c>
      <c r="F670" s="294">
        <f>20291+285</f>
        <v>20576</v>
      </c>
      <c r="G670" s="274"/>
      <c r="H670" s="13"/>
    </row>
    <row r="671" spans="1:8" ht="15.75" customHeight="1" x14ac:dyDescent="0.2">
      <c r="A671" s="20" t="s">
        <v>497</v>
      </c>
      <c r="B671" s="21" t="s">
        <v>54</v>
      </c>
      <c r="C671" s="21">
        <v>1204</v>
      </c>
      <c r="D671" s="22" t="s">
        <v>13</v>
      </c>
      <c r="E671" s="21" t="s">
        <v>13</v>
      </c>
      <c r="F671" s="294">
        <f>F672</f>
        <v>28022</v>
      </c>
      <c r="G671" s="12"/>
      <c r="H671" s="13"/>
    </row>
    <row r="672" spans="1:8" ht="47.25" customHeight="1" x14ac:dyDescent="0.2">
      <c r="A672" s="20" t="s">
        <v>111</v>
      </c>
      <c r="B672" s="21" t="s">
        <v>54</v>
      </c>
      <c r="C672" s="21">
        <v>1204</v>
      </c>
      <c r="D672" s="22" t="s">
        <v>112</v>
      </c>
      <c r="E672" s="21" t="s">
        <v>13</v>
      </c>
      <c r="F672" s="294">
        <f>F673</f>
        <v>28022</v>
      </c>
      <c r="G672" s="12"/>
      <c r="H672" s="13"/>
    </row>
    <row r="673" spans="1:8" ht="47.25" customHeight="1" x14ac:dyDescent="0.2">
      <c r="A673" s="20" t="s">
        <v>492</v>
      </c>
      <c r="B673" s="21" t="s">
        <v>54</v>
      </c>
      <c r="C673" s="21">
        <v>1204</v>
      </c>
      <c r="D673" s="22" t="s">
        <v>493</v>
      </c>
      <c r="E673" s="21" t="s">
        <v>13</v>
      </c>
      <c r="F673" s="294">
        <f>F674+F677</f>
        <v>28022</v>
      </c>
      <c r="G673" s="12"/>
      <c r="H673" s="13"/>
    </row>
    <row r="674" spans="1:8" ht="31.5" customHeight="1" x14ac:dyDescent="0.2">
      <c r="A674" s="20" t="s">
        <v>494</v>
      </c>
      <c r="B674" s="21" t="s">
        <v>54</v>
      </c>
      <c r="C674" s="21">
        <v>1204</v>
      </c>
      <c r="D674" s="22" t="s">
        <v>495</v>
      </c>
      <c r="E674" s="21" t="s">
        <v>13</v>
      </c>
      <c r="F674" s="294">
        <f>F675</f>
        <v>25017.4</v>
      </c>
      <c r="G674" s="12"/>
      <c r="H674" s="13"/>
    </row>
    <row r="675" spans="1:8" ht="31.5" customHeight="1" x14ac:dyDescent="0.2">
      <c r="A675" s="20" t="s">
        <v>82</v>
      </c>
      <c r="B675" s="21" t="s">
        <v>54</v>
      </c>
      <c r="C675" s="21">
        <v>1204</v>
      </c>
      <c r="D675" s="22" t="s">
        <v>498</v>
      </c>
      <c r="E675" s="21"/>
      <c r="F675" s="294">
        <f>F676</f>
        <v>25017.4</v>
      </c>
      <c r="G675" s="12"/>
      <c r="H675" s="13"/>
    </row>
    <row r="676" spans="1:8" ht="31.5" customHeight="1" x14ac:dyDescent="0.2">
      <c r="A676" s="14" t="s">
        <v>43</v>
      </c>
      <c r="B676" s="21" t="s">
        <v>54</v>
      </c>
      <c r="C676" s="21">
        <v>1204</v>
      </c>
      <c r="D676" s="22" t="s">
        <v>498</v>
      </c>
      <c r="E676" s="21">
        <v>240</v>
      </c>
      <c r="F676" s="294">
        <v>25017.4</v>
      </c>
      <c r="G676" s="17"/>
      <c r="H676" s="30"/>
    </row>
    <row r="677" spans="1:8" ht="31.5" customHeight="1" x14ac:dyDescent="0.2">
      <c r="A677" s="24" t="s">
        <v>779</v>
      </c>
      <c r="B677" s="21">
        <v>902</v>
      </c>
      <c r="C677" s="21">
        <v>1204</v>
      </c>
      <c r="D677" s="22" t="s">
        <v>777</v>
      </c>
      <c r="E677" s="21"/>
      <c r="F677" s="294">
        <f>F678</f>
        <v>3004.6</v>
      </c>
      <c r="G677" s="60"/>
      <c r="H677" s="30"/>
    </row>
    <row r="678" spans="1:8" ht="31.5" customHeight="1" x14ac:dyDescent="0.2">
      <c r="A678" s="20" t="s">
        <v>82</v>
      </c>
      <c r="B678" s="21">
        <v>902</v>
      </c>
      <c r="C678" s="21">
        <v>1204</v>
      </c>
      <c r="D678" s="22" t="s">
        <v>778</v>
      </c>
      <c r="E678" s="21"/>
      <c r="F678" s="294">
        <f>F679</f>
        <v>3004.6</v>
      </c>
      <c r="G678" s="60"/>
      <c r="H678" s="30"/>
    </row>
    <row r="679" spans="1:8" ht="31.5" customHeight="1" x14ac:dyDescent="0.2">
      <c r="A679" s="14" t="s">
        <v>43</v>
      </c>
      <c r="B679" s="21">
        <v>902</v>
      </c>
      <c r="C679" s="21">
        <v>1204</v>
      </c>
      <c r="D679" s="22" t="s">
        <v>778</v>
      </c>
      <c r="E679" s="21">
        <v>240</v>
      </c>
      <c r="F679" s="294">
        <f>2349.6+249.6+405.4</f>
        <v>3004.6</v>
      </c>
      <c r="G679" s="340"/>
      <c r="H679" s="254"/>
    </row>
    <row r="680" spans="1:8" ht="31.5" customHeight="1" x14ac:dyDescent="0.2">
      <c r="A680" s="102" t="s">
        <v>895</v>
      </c>
      <c r="B680" s="103">
        <v>903</v>
      </c>
      <c r="C680" s="103" t="s">
        <v>13</v>
      </c>
      <c r="D680" s="246" t="s">
        <v>13</v>
      </c>
      <c r="E680" s="103" t="s">
        <v>13</v>
      </c>
      <c r="F680" s="339">
        <f>F681+F687+F729+F746+F740</f>
        <v>238039.90000000002</v>
      </c>
      <c r="G680" s="27"/>
      <c r="H680" s="30"/>
    </row>
    <row r="681" spans="1:8" x14ac:dyDescent="0.2">
      <c r="A681" s="34" t="s">
        <v>14</v>
      </c>
      <c r="B681" s="35">
        <v>903</v>
      </c>
      <c r="C681" s="61" t="s">
        <v>15</v>
      </c>
      <c r="D681" s="36" t="s">
        <v>13</v>
      </c>
      <c r="E681" s="35" t="s">
        <v>13</v>
      </c>
      <c r="F681" s="297">
        <f>F682</f>
        <v>5935.2</v>
      </c>
      <c r="G681" s="27"/>
      <c r="H681" s="30"/>
    </row>
    <row r="682" spans="1:8" x14ac:dyDescent="0.2">
      <c r="A682" s="91" t="s">
        <v>32</v>
      </c>
      <c r="B682" s="92">
        <v>903</v>
      </c>
      <c r="C682" s="92" t="s">
        <v>33</v>
      </c>
      <c r="D682" s="22" t="s">
        <v>13</v>
      </c>
      <c r="E682" s="91" t="s">
        <v>13</v>
      </c>
      <c r="F682" s="294">
        <f>F683</f>
        <v>5935.2</v>
      </c>
      <c r="G682" s="27"/>
      <c r="H682" s="30"/>
    </row>
    <row r="683" spans="1:8" x14ac:dyDescent="0.2">
      <c r="A683" s="91" t="s">
        <v>34</v>
      </c>
      <c r="B683" s="92">
        <v>903</v>
      </c>
      <c r="C683" s="92" t="s">
        <v>33</v>
      </c>
      <c r="D683" s="22" t="s">
        <v>35</v>
      </c>
      <c r="E683" s="91" t="s">
        <v>13</v>
      </c>
      <c r="F683" s="294">
        <f>F684</f>
        <v>5935.2</v>
      </c>
      <c r="G683" s="27"/>
      <c r="H683" s="30"/>
    </row>
    <row r="684" spans="1:8" x14ac:dyDescent="0.2">
      <c r="A684" s="91" t="s">
        <v>45</v>
      </c>
      <c r="B684" s="92">
        <v>903</v>
      </c>
      <c r="C684" s="92" t="s">
        <v>33</v>
      </c>
      <c r="D684" s="22" t="s">
        <v>46</v>
      </c>
      <c r="E684" s="91" t="s">
        <v>13</v>
      </c>
      <c r="F684" s="294">
        <f>F685</f>
        <v>5935.2</v>
      </c>
      <c r="G684" s="27"/>
      <c r="H684" s="30"/>
    </row>
    <row r="685" spans="1:8" ht="24" customHeight="1" x14ac:dyDescent="0.2">
      <c r="A685" s="91" t="s">
        <v>47</v>
      </c>
      <c r="B685" s="92">
        <v>903</v>
      </c>
      <c r="C685" s="92" t="s">
        <v>33</v>
      </c>
      <c r="D685" s="22" t="s">
        <v>48</v>
      </c>
      <c r="E685" s="91"/>
      <c r="F685" s="294">
        <f>F686</f>
        <v>5935.2</v>
      </c>
      <c r="G685" s="27"/>
      <c r="H685" s="30"/>
    </row>
    <row r="686" spans="1:8" ht="31.5" customHeight="1" x14ac:dyDescent="0.2">
      <c r="A686" s="14" t="s">
        <v>43</v>
      </c>
      <c r="B686" s="92">
        <v>903</v>
      </c>
      <c r="C686" s="92" t="s">
        <v>33</v>
      </c>
      <c r="D686" s="22" t="s">
        <v>48</v>
      </c>
      <c r="E686" s="92">
        <v>240</v>
      </c>
      <c r="F686" s="294">
        <v>5935.2</v>
      </c>
      <c r="G686" s="62"/>
      <c r="H686" s="30"/>
    </row>
    <row r="687" spans="1:8" s="154" customFormat="1" ht="20.25" customHeight="1" x14ac:dyDescent="0.2">
      <c r="A687" s="99" t="s">
        <v>189</v>
      </c>
      <c r="B687" s="100">
        <v>903</v>
      </c>
      <c r="C687" s="100" t="s">
        <v>190</v>
      </c>
      <c r="D687" s="36" t="s">
        <v>13</v>
      </c>
      <c r="E687" s="100" t="s">
        <v>13</v>
      </c>
      <c r="F687" s="297">
        <f>F688</f>
        <v>226737.7</v>
      </c>
      <c r="G687" s="207"/>
      <c r="H687" s="204"/>
    </row>
    <row r="688" spans="1:8" s="154" customFormat="1" ht="21" customHeight="1" x14ac:dyDescent="0.2">
      <c r="A688" s="91" t="s">
        <v>253</v>
      </c>
      <c r="B688" s="92">
        <v>903</v>
      </c>
      <c r="C688" s="92" t="s">
        <v>254</v>
      </c>
      <c r="D688" s="22" t="s">
        <v>13</v>
      </c>
      <c r="E688" s="92" t="s">
        <v>13</v>
      </c>
      <c r="F688" s="294">
        <f>F689+F699+F710+F724+F693</f>
        <v>226737.7</v>
      </c>
      <c r="G688" s="207"/>
      <c r="H688" s="204"/>
    </row>
    <row r="689" spans="1:8" s="154" customFormat="1" ht="48" customHeight="1" x14ac:dyDescent="0.2">
      <c r="A689" s="20" t="s">
        <v>255</v>
      </c>
      <c r="B689" s="21">
        <v>903</v>
      </c>
      <c r="C689" s="21" t="s">
        <v>254</v>
      </c>
      <c r="D689" s="22" t="s">
        <v>256</v>
      </c>
      <c r="E689" s="21" t="s">
        <v>13</v>
      </c>
      <c r="F689" s="294">
        <f>F690</f>
        <v>6910.4</v>
      </c>
      <c r="G689" s="207"/>
      <c r="H689" s="204"/>
    </row>
    <row r="690" spans="1:8" s="154" customFormat="1" ht="47.25" x14ac:dyDescent="0.2">
      <c r="A690" s="20" t="s">
        <v>257</v>
      </c>
      <c r="B690" s="21">
        <v>903</v>
      </c>
      <c r="C690" s="21" t="s">
        <v>254</v>
      </c>
      <c r="D690" s="22" t="s">
        <v>258</v>
      </c>
      <c r="E690" s="21" t="s">
        <v>13</v>
      </c>
      <c r="F690" s="294">
        <f>F691</f>
        <v>6910.4</v>
      </c>
      <c r="G690" s="207"/>
      <c r="H690" s="204"/>
    </row>
    <row r="691" spans="1:8" s="154" customFormat="1" ht="78" customHeight="1" x14ac:dyDescent="0.2">
      <c r="A691" s="24" t="s">
        <v>923</v>
      </c>
      <c r="B691" s="21">
        <v>903</v>
      </c>
      <c r="C691" s="21" t="s">
        <v>254</v>
      </c>
      <c r="D691" s="22" t="s">
        <v>809</v>
      </c>
      <c r="E691" s="21"/>
      <c r="F691" s="294">
        <f>F692</f>
        <v>6910.4</v>
      </c>
      <c r="G691" s="207"/>
      <c r="H691" s="204"/>
    </row>
    <row r="692" spans="1:8" s="154" customFormat="1" ht="49.5" customHeight="1" x14ac:dyDescent="0.2">
      <c r="A692" s="14" t="s">
        <v>206</v>
      </c>
      <c r="B692" s="21">
        <v>903</v>
      </c>
      <c r="C692" s="21" t="s">
        <v>254</v>
      </c>
      <c r="D692" s="22" t="s">
        <v>809</v>
      </c>
      <c r="E692" s="21">
        <v>810</v>
      </c>
      <c r="F692" s="294">
        <f>4910.4+2000</f>
        <v>6910.4</v>
      </c>
      <c r="G692" s="224"/>
      <c r="H692" s="355"/>
    </row>
    <row r="693" spans="1:8" s="154" customFormat="1" ht="19.5" customHeight="1" x14ac:dyDescent="0.2">
      <c r="A693" s="97" t="s">
        <v>75</v>
      </c>
      <c r="B693" s="21">
        <v>903</v>
      </c>
      <c r="C693" s="95" t="s">
        <v>254</v>
      </c>
      <c r="D693" s="8" t="s">
        <v>76</v>
      </c>
      <c r="E693" s="95" t="s">
        <v>13</v>
      </c>
      <c r="F693" s="294">
        <f>F694</f>
        <v>25</v>
      </c>
      <c r="G693" s="207"/>
      <c r="H693" s="204"/>
    </row>
    <row r="694" spans="1:8" s="154" customFormat="1" ht="19.5" customHeight="1" x14ac:dyDescent="0.2">
      <c r="A694" s="97" t="s">
        <v>77</v>
      </c>
      <c r="B694" s="21">
        <v>903</v>
      </c>
      <c r="C694" s="95" t="s">
        <v>254</v>
      </c>
      <c r="D694" s="8" t="s">
        <v>78</v>
      </c>
      <c r="E694" s="95" t="s">
        <v>13</v>
      </c>
      <c r="F694" s="294">
        <f>F695+F697</f>
        <v>25</v>
      </c>
      <c r="G694" s="207"/>
      <c r="H694" s="204"/>
    </row>
    <row r="695" spans="1:8" s="154" customFormat="1" ht="19.5" customHeight="1" x14ac:dyDescent="0.2">
      <c r="A695" s="14" t="s">
        <v>47</v>
      </c>
      <c r="B695" s="21">
        <v>903</v>
      </c>
      <c r="C695" s="95" t="s">
        <v>254</v>
      </c>
      <c r="D695" s="8" t="s">
        <v>79</v>
      </c>
      <c r="E695" s="7"/>
      <c r="F695" s="294">
        <f>F696</f>
        <v>25</v>
      </c>
      <c r="G695" s="207"/>
      <c r="H695" s="204"/>
    </row>
    <row r="696" spans="1:8" s="154" customFormat="1" ht="19.5" customHeight="1" x14ac:dyDescent="0.2">
      <c r="A696" s="14" t="s">
        <v>25</v>
      </c>
      <c r="B696" s="21">
        <v>903</v>
      </c>
      <c r="C696" s="95" t="s">
        <v>254</v>
      </c>
      <c r="D696" s="8" t="s">
        <v>79</v>
      </c>
      <c r="E696" s="7">
        <v>120</v>
      </c>
      <c r="F696" s="294">
        <v>25</v>
      </c>
      <c r="G696" s="207"/>
      <c r="H696" s="204"/>
    </row>
    <row r="697" spans="1:8" s="154" customFormat="1" ht="33" customHeight="1" x14ac:dyDescent="0.2">
      <c r="A697" s="105" t="s">
        <v>80</v>
      </c>
      <c r="B697" s="21">
        <v>903</v>
      </c>
      <c r="C697" s="95" t="s">
        <v>254</v>
      </c>
      <c r="D697" s="8" t="s">
        <v>81</v>
      </c>
      <c r="E697" s="314"/>
      <c r="F697" s="294">
        <f>F698</f>
        <v>0</v>
      </c>
      <c r="G697" s="207"/>
      <c r="H697" s="204"/>
    </row>
    <row r="698" spans="1:8" s="154" customFormat="1" ht="19.5" customHeight="1" x14ac:dyDescent="0.2">
      <c r="A698" s="14" t="s">
        <v>43</v>
      </c>
      <c r="B698" s="21">
        <v>903</v>
      </c>
      <c r="C698" s="95" t="s">
        <v>254</v>
      </c>
      <c r="D698" s="8" t="s">
        <v>81</v>
      </c>
      <c r="E698" s="314">
        <v>240</v>
      </c>
      <c r="F698" s="294">
        <f>25-25</f>
        <v>0</v>
      </c>
      <c r="G698" s="358"/>
      <c r="H698" s="204"/>
    </row>
    <row r="699" spans="1:8" s="154" customFormat="1" ht="53.25" customHeight="1" x14ac:dyDescent="0.2">
      <c r="A699" s="91" t="s">
        <v>242</v>
      </c>
      <c r="B699" s="92">
        <v>903</v>
      </c>
      <c r="C699" s="92" t="s">
        <v>254</v>
      </c>
      <c r="D699" s="22" t="s">
        <v>243</v>
      </c>
      <c r="E699" s="92"/>
      <c r="F699" s="294">
        <f>F700</f>
        <v>123208.6</v>
      </c>
      <c r="G699" s="207"/>
      <c r="H699" s="204"/>
    </row>
    <row r="700" spans="1:8" s="154" customFormat="1" ht="31.5" customHeight="1" x14ac:dyDescent="0.2">
      <c r="A700" s="91" t="s">
        <v>969</v>
      </c>
      <c r="B700" s="92">
        <v>903</v>
      </c>
      <c r="C700" s="92" t="s">
        <v>254</v>
      </c>
      <c r="D700" s="22" t="s">
        <v>524</v>
      </c>
      <c r="E700" s="92" t="s">
        <v>13</v>
      </c>
      <c r="F700" s="294">
        <f>F701+F704+F707</f>
        <v>123208.6</v>
      </c>
      <c r="G700" s="207"/>
      <c r="H700" s="204"/>
    </row>
    <row r="701" spans="1:8" s="154" customFormat="1" ht="31.5" customHeight="1" x14ac:dyDescent="0.2">
      <c r="A701" s="91" t="s">
        <v>525</v>
      </c>
      <c r="B701" s="92">
        <v>903</v>
      </c>
      <c r="C701" s="92" t="s">
        <v>254</v>
      </c>
      <c r="D701" s="22" t="s">
        <v>526</v>
      </c>
      <c r="E701" s="92" t="s">
        <v>13</v>
      </c>
      <c r="F701" s="294">
        <f>F702</f>
        <v>105449.2</v>
      </c>
      <c r="G701" s="207"/>
      <c r="H701" s="204"/>
    </row>
    <row r="702" spans="1:8" s="154" customFormat="1" ht="31.5" customHeight="1" x14ac:dyDescent="0.2">
      <c r="A702" s="20" t="s">
        <v>82</v>
      </c>
      <c r="B702" s="92">
        <v>903</v>
      </c>
      <c r="C702" s="92" t="s">
        <v>254</v>
      </c>
      <c r="D702" s="22" t="s">
        <v>527</v>
      </c>
      <c r="E702" s="92"/>
      <c r="F702" s="294">
        <f>F703</f>
        <v>105449.2</v>
      </c>
      <c r="G702" s="207"/>
      <c r="H702" s="204"/>
    </row>
    <row r="703" spans="1:8" s="154" customFormat="1" ht="31.5" customHeight="1" x14ac:dyDescent="0.2">
      <c r="A703" s="14" t="s">
        <v>43</v>
      </c>
      <c r="B703" s="92">
        <v>903</v>
      </c>
      <c r="C703" s="92" t="s">
        <v>254</v>
      </c>
      <c r="D703" s="22" t="s">
        <v>527</v>
      </c>
      <c r="E703" s="92">
        <v>240</v>
      </c>
      <c r="F703" s="294">
        <f>105449.2</f>
        <v>105449.2</v>
      </c>
      <c r="G703" s="207"/>
      <c r="H703" s="204"/>
    </row>
    <row r="704" spans="1:8" s="154" customFormat="1" ht="31.5" customHeight="1" x14ac:dyDescent="0.2">
      <c r="A704" s="91" t="s">
        <v>528</v>
      </c>
      <c r="B704" s="92">
        <v>903</v>
      </c>
      <c r="C704" s="92" t="s">
        <v>254</v>
      </c>
      <c r="D704" s="22" t="s">
        <v>529</v>
      </c>
      <c r="E704" s="92" t="s">
        <v>13</v>
      </c>
      <c r="F704" s="294">
        <f>F705</f>
        <v>10</v>
      </c>
      <c r="G704" s="207"/>
      <c r="H704" s="204"/>
    </row>
    <row r="705" spans="1:8" s="154" customFormat="1" ht="31.5" customHeight="1" x14ac:dyDescent="0.2">
      <c r="A705" s="20" t="s">
        <v>82</v>
      </c>
      <c r="B705" s="92">
        <v>903</v>
      </c>
      <c r="C705" s="92" t="s">
        <v>254</v>
      </c>
      <c r="D705" s="22" t="s">
        <v>530</v>
      </c>
      <c r="E705" s="92"/>
      <c r="F705" s="294">
        <f>F706</f>
        <v>10</v>
      </c>
      <c r="G705" s="207"/>
      <c r="H705" s="204"/>
    </row>
    <row r="706" spans="1:8" s="154" customFormat="1" ht="31.5" customHeight="1" x14ac:dyDescent="0.2">
      <c r="A706" s="14" t="s">
        <v>43</v>
      </c>
      <c r="B706" s="92">
        <v>903</v>
      </c>
      <c r="C706" s="92" t="s">
        <v>254</v>
      </c>
      <c r="D706" s="22" t="s">
        <v>530</v>
      </c>
      <c r="E706" s="92">
        <v>240</v>
      </c>
      <c r="F706" s="294">
        <v>10</v>
      </c>
      <c r="G706" s="207"/>
      <c r="H706" s="204"/>
    </row>
    <row r="707" spans="1:8" s="154" customFormat="1" ht="39.75" customHeight="1" x14ac:dyDescent="0.2">
      <c r="A707" s="20" t="s">
        <v>531</v>
      </c>
      <c r="B707" s="21">
        <v>903</v>
      </c>
      <c r="C707" s="21" t="s">
        <v>254</v>
      </c>
      <c r="D707" s="22" t="s">
        <v>532</v>
      </c>
      <c r="E707" s="21" t="s">
        <v>13</v>
      </c>
      <c r="F707" s="208">
        <f>F708</f>
        <v>17749.400000000001</v>
      </c>
      <c r="G707" s="207"/>
      <c r="H707" s="204"/>
    </row>
    <row r="708" spans="1:8" s="154" customFormat="1" ht="35.25" customHeight="1" x14ac:dyDescent="0.2">
      <c r="A708" s="20" t="s">
        <v>806</v>
      </c>
      <c r="B708" s="21">
        <v>903</v>
      </c>
      <c r="C708" s="21" t="s">
        <v>254</v>
      </c>
      <c r="D708" s="22" t="s">
        <v>965</v>
      </c>
      <c r="E708" s="21" t="s">
        <v>13</v>
      </c>
      <c r="F708" s="294">
        <f>F709</f>
        <v>17749.400000000001</v>
      </c>
      <c r="G708" s="207"/>
      <c r="H708" s="204"/>
    </row>
    <row r="709" spans="1:8" s="154" customFormat="1" ht="35.25" customHeight="1" x14ac:dyDescent="0.2">
      <c r="A709" s="14" t="s">
        <v>206</v>
      </c>
      <c r="B709" s="21">
        <v>903</v>
      </c>
      <c r="C709" s="22" t="s">
        <v>254</v>
      </c>
      <c r="D709" s="22" t="s">
        <v>965</v>
      </c>
      <c r="E709" s="21">
        <v>810</v>
      </c>
      <c r="F709" s="294">
        <f>11749.4+6000</f>
        <v>17749.400000000001</v>
      </c>
      <c r="G709" s="224"/>
      <c r="H709" s="355"/>
    </row>
    <row r="710" spans="1:8" s="154" customFormat="1" ht="52.5" customHeight="1" x14ac:dyDescent="0.2">
      <c r="A710" s="91" t="s">
        <v>326</v>
      </c>
      <c r="B710" s="92">
        <v>903</v>
      </c>
      <c r="C710" s="92" t="s">
        <v>254</v>
      </c>
      <c r="D710" s="22" t="s">
        <v>327</v>
      </c>
      <c r="E710" s="92" t="s">
        <v>13</v>
      </c>
      <c r="F710" s="294">
        <f>F723+F713+F716+F719</f>
        <v>15328.2</v>
      </c>
      <c r="G710" s="207"/>
      <c r="H710" s="204"/>
    </row>
    <row r="711" spans="1:8" s="154" customFormat="1" ht="54.75" customHeight="1" x14ac:dyDescent="0.2">
      <c r="A711" s="24" t="s">
        <v>970</v>
      </c>
      <c r="B711" s="21">
        <v>903</v>
      </c>
      <c r="C711" s="174">
        <v>412</v>
      </c>
      <c r="D711" s="22" t="s">
        <v>924</v>
      </c>
      <c r="E711" s="21"/>
      <c r="F711" s="208">
        <f>F712</f>
        <v>1400</v>
      </c>
      <c r="G711" s="207"/>
      <c r="H711" s="204"/>
    </row>
    <row r="712" spans="1:8" s="154" customFormat="1" ht="31.5" customHeight="1" x14ac:dyDescent="0.2">
      <c r="A712" s="20" t="s">
        <v>82</v>
      </c>
      <c r="B712" s="21">
        <v>903</v>
      </c>
      <c r="C712" s="174">
        <v>412</v>
      </c>
      <c r="D712" s="22" t="s">
        <v>925</v>
      </c>
      <c r="E712" s="21"/>
      <c r="F712" s="208">
        <f>F713</f>
        <v>1400</v>
      </c>
      <c r="G712" s="207"/>
      <c r="H712" s="204"/>
    </row>
    <row r="713" spans="1:8" s="154" customFormat="1" ht="31.5" customHeight="1" x14ac:dyDescent="0.2">
      <c r="A713" s="14" t="s">
        <v>43</v>
      </c>
      <c r="B713" s="21">
        <v>903</v>
      </c>
      <c r="C713" s="174">
        <v>412</v>
      </c>
      <c r="D713" s="22" t="s">
        <v>925</v>
      </c>
      <c r="E713" s="21">
        <v>240</v>
      </c>
      <c r="F713" s="208">
        <v>1400</v>
      </c>
      <c r="G713" s="207"/>
      <c r="H713" s="204"/>
    </row>
    <row r="714" spans="1:8" s="154" customFormat="1" ht="36" customHeight="1" x14ac:dyDescent="0.25">
      <c r="A714" s="292" t="s">
        <v>992</v>
      </c>
      <c r="B714" s="21">
        <v>903</v>
      </c>
      <c r="C714" s="174">
        <v>412</v>
      </c>
      <c r="D714" s="22" t="s">
        <v>990</v>
      </c>
      <c r="E714" s="173"/>
      <c r="F714" s="208">
        <f>F715</f>
        <v>3000</v>
      </c>
      <c r="G714" s="207"/>
      <c r="H714" s="204"/>
    </row>
    <row r="715" spans="1:8" s="154" customFormat="1" ht="42" customHeight="1" x14ac:dyDescent="0.2">
      <c r="A715" s="20" t="s">
        <v>82</v>
      </c>
      <c r="B715" s="21">
        <v>903</v>
      </c>
      <c r="C715" s="174">
        <v>412</v>
      </c>
      <c r="D715" s="22" t="s">
        <v>991</v>
      </c>
      <c r="E715" s="21"/>
      <c r="F715" s="208">
        <f>F716</f>
        <v>3000</v>
      </c>
      <c r="G715" s="207"/>
      <c r="H715" s="204"/>
    </row>
    <row r="716" spans="1:8" s="154" customFormat="1" ht="36" customHeight="1" x14ac:dyDescent="0.2">
      <c r="A716" s="14" t="s">
        <v>43</v>
      </c>
      <c r="B716" s="21">
        <v>903</v>
      </c>
      <c r="C716" s="174">
        <v>412</v>
      </c>
      <c r="D716" s="22" t="s">
        <v>991</v>
      </c>
      <c r="E716" s="21">
        <v>240</v>
      </c>
      <c r="F716" s="208">
        <v>3000</v>
      </c>
      <c r="G716" s="207"/>
      <c r="H716" s="204"/>
    </row>
    <row r="717" spans="1:8" s="154" customFormat="1" ht="61.5" customHeight="1" x14ac:dyDescent="0.25">
      <c r="A717" s="293" t="s">
        <v>995</v>
      </c>
      <c r="B717" s="21">
        <v>903</v>
      </c>
      <c r="C717" s="174">
        <v>412</v>
      </c>
      <c r="D717" s="22" t="s">
        <v>993</v>
      </c>
      <c r="E717" s="21"/>
      <c r="F717" s="208">
        <f>F718</f>
        <v>1000</v>
      </c>
      <c r="G717" s="207"/>
      <c r="H717" s="204"/>
    </row>
    <row r="718" spans="1:8" s="154" customFormat="1" ht="36" customHeight="1" x14ac:dyDescent="0.2">
      <c r="A718" s="20" t="s">
        <v>82</v>
      </c>
      <c r="B718" s="21">
        <v>903</v>
      </c>
      <c r="C718" s="174">
        <v>412</v>
      </c>
      <c r="D718" s="22" t="s">
        <v>994</v>
      </c>
      <c r="E718" s="21"/>
      <c r="F718" s="208">
        <f>F719</f>
        <v>1000</v>
      </c>
      <c r="G718" s="207"/>
      <c r="H718" s="204"/>
    </row>
    <row r="719" spans="1:8" s="154" customFormat="1" ht="36" customHeight="1" x14ac:dyDescent="0.2">
      <c r="A719" s="14" t="s">
        <v>43</v>
      </c>
      <c r="B719" s="21">
        <v>903</v>
      </c>
      <c r="C719" s="174">
        <v>412</v>
      </c>
      <c r="D719" s="22" t="s">
        <v>994</v>
      </c>
      <c r="E719" s="21">
        <v>240</v>
      </c>
      <c r="F719" s="208">
        <v>1000</v>
      </c>
      <c r="G719" s="207"/>
      <c r="H719" s="204"/>
    </row>
    <row r="720" spans="1:8" s="154" customFormat="1" ht="55.5" customHeight="1" x14ac:dyDescent="0.2">
      <c r="A720" s="24" t="s">
        <v>808</v>
      </c>
      <c r="B720" s="21">
        <v>903</v>
      </c>
      <c r="C720" s="21" t="s">
        <v>254</v>
      </c>
      <c r="D720" s="22" t="s">
        <v>329</v>
      </c>
      <c r="E720" s="21"/>
      <c r="F720" s="208">
        <f>F721</f>
        <v>9928.2000000000007</v>
      </c>
      <c r="G720" s="207"/>
      <c r="H720" s="204"/>
    </row>
    <row r="721" spans="1:8" s="154" customFormat="1" ht="47.25" x14ac:dyDescent="0.2">
      <c r="A721" s="88" t="s">
        <v>811</v>
      </c>
      <c r="B721" s="21">
        <v>903</v>
      </c>
      <c r="C721" s="22" t="s">
        <v>254</v>
      </c>
      <c r="D721" s="22" t="s">
        <v>805</v>
      </c>
      <c r="E721" s="21"/>
      <c r="F721" s="208">
        <f>F723</f>
        <v>9928.2000000000007</v>
      </c>
      <c r="G721" s="207"/>
      <c r="H721" s="204"/>
    </row>
    <row r="722" spans="1:8" s="154" customFormat="1" ht="78.75" x14ac:dyDescent="0.2">
      <c r="A722" s="24" t="s">
        <v>806</v>
      </c>
      <c r="B722" s="21">
        <v>903</v>
      </c>
      <c r="C722" s="22" t="s">
        <v>254</v>
      </c>
      <c r="D722" s="22" t="s">
        <v>807</v>
      </c>
      <c r="E722" s="21"/>
      <c r="F722" s="208">
        <f>F723</f>
        <v>9928.2000000000007</v>
      </c>
      <c r="G722" s="207"/>
      <c r="H722" s="204"/>
    </row>
    <row r="723" spans="1:8" s="154" customFormat="1" ht="47.25" customHeight="1" x14ac:dyDescent="0.2">
      <c r="A723" s="14" t="s">
        <v>206</v>
      </c>
      <c r="B723" s="21">
        <v>903</v>
      </c>
      <c r="C723" s="22" t="s">
        <v>254</v>
      </c>
      <c r="D723" s="22" t="s">
        <v>807</v>
      </c>
      <c r="E723" s="21">
        <v>810</v>
      </c>
      <c r="F723" s="208">
        <f>7928.2+2000</f>
        <v>9928.2000000000007</v>
      </c>
      <c r="G723" s="354"/>
      <c r="H723" s="355"/>
    </row>
    <row r="724" spans="1:8" s="154" customFormat="1" ht="31.5" customHeight="1" x14ac:dyDescent="0.2">
      <c r="A724" s="94" t="s">
        <v>18</v>
      </c>
      <c r="B724" s="92">
        <v>903</v>
      </c>
      <c r="C724" s="92" t="s">
        <v>254</v>
      </c>
      <c r="D724" s="258" t="s">
        <v>19</v>
      </c>
      <c r="E724" s="93"/>
      <c r="F724" s="294">
        <f>F725</f>
        <v>81265.5</v>
      </c>
      <c r="G724" s="207"/>
      <c r="H724" s="204"/>
    </row>
    <row r="725" spans="1:8" s="154" customFormat="1" ht="31.5" x14ac:dyDescent="0.2">
      <c r="A725" s="94" t="s">
        <v>62</v>
      </c>
      <c r="B725" s="92">
        <v>903</v>
      </c>
      <c r="C725" s="209">
        <v>412</v>
      </c>
      <c r="D725" s="258" t="s">
        <v>63</v>
      </c>
      <c r="E725" s="93"/>
      <c r="F725" s="294">
        <f>F726</f>
        <v>81265.5</v>
      </c>
      <c r="G725" s="207"/>
      <c r="H725" s="204"/>
    </row>
    <row r="726" spans="1:8" s="154" customFormat="1" x14ac:dyDescent="0.2">
      <c r="A726" s="91" t="s">
        <v>29</v>
      </c>
      <c r="B726" s="92">
        <v>903</v>
      </c>
      <c r="C726" s="209">
        <v>412</v>
      </c>
      <c r="D726" s="258" t="s">
        <v>64</v>
      </c>
      <c r="E726" s="93"/>
      <c r="F726" s="294">
        <f>F727</f>
        <v>81265.5</v>
      </c>
      <c r="G726" s="207"/>
      <c r="H726" s="204"/>
    </row>
    <row r="727" spans="1:8" s="154" customFormat="1" ht="27.75" customHeight="1" x14ac:dyDescent="0.2">
      <c r="A727" s="14" t="s">
        <v>773</v>
      </c>
      <c r="B727" s="92">
        <v>903</v>
      </c>
      <c r="C727" s="209">
        <v>412</v>
      </c>
      <c r="D727" s="258" t="s">
        <v>65</v>
      </c>
      <c r="E727" s="93"/>
      <c r="F727" s="294">
        <f>F728</f>
        <v>81265.5</v>
      </c>
      <c r="G727" s="207"/>
      <c r="H727" s="204"/>
    </row>
    <row r="728" spans="1:8" s="154" customFormat="1" ht="31.5" x14ac:dyDescent="0.2">
      <c r="A728" s="94" t="s">
        <v>25</v>
      </c>
      <c r="B728" s="92">
        <v>903</v>
      </c>
      <c r="C728" s="209">
        <v>412</v>
      </c>
      <c r="D728" s="258" t="s">
        <v>65</v>
      </c>
      <c r="E728" s="93">
        <v>120</v>
      </c>
      <c r="F728" s="294">
        <f>73118.5+1510.1+6636.9</f>
        <v>81265.5</v>
      </c>
      <c r="G728" s="259"/>
      <c r="H728" s="259"/>
    </row>
    <row r="729" spans="1:8" s="154" customFormat="1" ht="27.75" customHeight="1" x14ac:dyDescent="0.2">
      <c r="A729" s="99" t="s">
        <v>278</v>
      </c>
      <c r="B729" s="100">
        <v>903</v>
      </c>
      <c r="C729" s="100" t="s">
        <v>279</v>
      </c>
      <c r="D729" s="36" t="s">
        <v>13</v>
      </c>
      <c r="E729" s="100" t="s">
        <v>13</v>
      </c>
      <c r="F729" s="296">
        <f>F730+F735</f>
        <v>5000</v>
      </c>
      <c r="G729" s="207"/>
      <c r="H729" s="204"/>
    </row>
    <row r="730" spans="1:8" s="154" customFormat="1" ht="22.5" customHeight="1" x14ac:dyDescent="0.2">
      <c r="A730" s="91" t="s">
        <v>320</v>
      </c>
      <c r="B730" s="92">
        <v>903</v>
      </c>
      <c r="C730" s="92" t="s">
        <v>321</v>
      </c>
      <c r="D730" s="22" t="s">
        <v>13</v>
      </c>
      <c r="E730" s="92" t="s">
        <v>13</v>
      </c>
      <c r="F730" s="208">
        <f>F731</f>
        <v>0</v>
      </c>
      <c r="G730" s="207"/>
      <c r="H730" s="204"/>
    </row>
    <row r="731" spans="1:8" s="154" customFormat="1" ht="54.75" customHeight="1" x14ac:dyDescent="0.2">
      <c r="A731" s="94" t="s">
        <v>237</v>
      </c>
      <c r="B731" s="92">
        <v>903</v>
      </c>
      <c r="C731" s="92" t="s">
        <v>321</v>
      </c>
      <c r="D731" s="22" t="s">
        <v>238</v>
      </c>
      <c r="E731" s="210"/>
      <c r="F731" s="208">
        <f>F734</f>
        <v>0</v>
      </c>
      <c r="G731" s="207"/>
      <c r="H731" s="204"/>
    </row>
    <row r="732" spans="1:8" s="154" customFormat="1" ht="31.5" customHeight="1" x14ac:dyDescent="0.2">
      <c r="A732" s="91" t="s">
        <v>533</v>
      </c>
      <c r="B732" s="92">
        <v>903</v>
      </c>
      <c r="C732" s="92" t="s">
        <v>321</v>
      </c>
      <c r="D732" s="22" t="s">
        <v>534</v>
      </c>
      <c r="E732" s="210" t="s">
        <v>13</v>
      </c>
      <c r="F732" s="208">
        <f>F733</f>
        <v>0</v>
      </c>
      <c r="G732" s="207"/>
      <c r="H732" s="204"/>
    </row>
    <row r="733" spans="1:8" s="154" customFormat="1" ht="31.5" customHeight="1" x14ac:dyDescent="0.2">
      <c r="A733" s="20" t="s">
        <v>82</v>
      </c>
      <c r="B733" s="92">
        <v>903</v>
      </c>
      <c r="C733" s="92" t="s">
        <v>321</v>
      </c>
      <c r="D733" s="22" t="s">
        <v>535</v>
      </c>
      <c r="E733" s="210"/>
      <c r="F733" s="208">
        <f>F734</f>
        <v>0</v>
      </c>
      <c r="G733" s="207"/>
      <c r="H733" s="204"/>
    </row>
    <row r="734" spans="1:8" s="154" customFormat="1" ht="31.5" customHeight="1" x14ac:dyDescent="0.2">
      <c r="A734" s="14" t="s">
        <v>43</v>
      </c>
      <c r="B734" s="92">
        <v>903</v>
      </c>
      <c r="C734" s="92" t="s">
        <v>321</v>
      </c>
      <c r="D734" s="22" t="s">
        <v>535</v>
      </c>
      <c r="E734" s="92">
        <v>240</v>
      </c>
      <c r="F734" s="208">
        <f>300-300</f>
        <v>0</v>
      </c>
      <c r="G734" s="224"/>
      <c r="H734" s="355"/>
    </row>
    <row r="735" spans="1:8" s="154" customFormat="1" ht="19.5" customHeight="1" x14ac:dyDescent="0.2">
      <c r="A735" s="99" t="s">
        <v>738</v>
      </c>
      <c r="B735" s="100">
        <v>903</v>
      </c>
      <c r="C735" s="100" t="s">
        <v>739</v>
      </c>
      <c r="D735" s="22"/>
      <c r="E735" s="92"/>
      <c r="F735" s="297">
        <f>F736</f>
        <v>5000</v>
      </c>
      <c r="G735" s="224"/>
      <c r="H735" s="204"/>
    </row>
    <row r="736" spans="1:8" s="154" customFormat="1" ht="49.5" customHeight="1" x14ac:dyDescent="0.2">
      <c r="A736" s="20" t="s">
        <v>326</v>
      </c>
      <c r="B736" s="92">
        <v>903</v>
      </c>
      <c r="C736" s="92" t="s">
        <v>739</v>
      </c>
      <c r="D736" s="22" t="s">
        <v>327</v>
      </c>
      <c r="E736" s="92"/>
      <c r="F736" s="294">
        <f>F737</f>
        <v>5000</v>
      </c>
      <c r="G736" s="224"/>
      <c r="H736" s="204"/>
    </row>
    <row r="737" spans="1:8" s="154" customFormat="1" ht="68.25" customHeight="1" x14ac:dyDescent="0.25">
      <c r="A737" s="279" t="s">
        <v>1020</v>
      </c>
      <c r="B737" s="92">
        <v>903</v>
      </c>
      <c r="C737" s="92" t="s">
        <v>739</v>
      </c>
      <c r="D737" s="22" t="s">
        <v>955</v>
      </c>
      <c r="E737" s="92"/>
      <c r="F737" s="294">
        <f>F738</f>
        <v>5000</v>
      </c>
      <c r="G737" s="224"/>
      <c r="H737" s="204"/>
    </row>
    <row r="738" spans="1:8" s="154" customFormat="1" ht="38.25" customHeight="1" x14ac:dyDescent="0.2">
      <c r="A738" s="228" t="s">
        <v>1019</v>
      </c>
      <c r="B738" s="92">
        <v>903</v>
      </c>
      <c r="C738" s="92" t="s">
        <v>739</v>
      </c>
      <c r="D738" s="22" t="s">
        <v>956</v>
      </c>
      <c r="E738" s="92"/>
      <c r="F738" s="294">
        <f>F739</f>
        <v>5000</v>
      </c>
      <c r="G738" s="224"/>
      <c r="H738" s="204"/>
    </row>
    <row r="739" spans="1:8" s="154" customFormat="1" ht="18" customHeight="1" x14ac:dyDescent="0.2">
      <c r="A739" s="91" t="s">
        <v>996</v>
      </c>
      <c r="B739" s="92">
        <v>903</v>
      </c>
      <c r="C739" s="92" t="s">
        <v>739</v>
      </c>
      <c r="D739" s="22" t="s">
        <v>956</v>
      </c>
      <c r="E739" s="92">
        <v>610</v>
      </c>
      <c r="F739" s="294">
        <v>5000</v>
      </c>
      <c r="G739" s="241"/>
      <c r="H739" s="204"/>
    </row>
    <row r="740" spans="1:8" ht="15.75" customHeight="1" x14ac:dyDescent="0.2">
      <c r="A740" s="34" t="s">
        <v>345</v>
      </c>
      <c r="B740" s="35">
        <v>903</v>
      </c>
      <c r="C740" s="35" t="s">
        <v>346</v>
      </c>
      <c r="D740" s="22" t="s">
        <v>13</v>
      </c>
      <c r="E740" s="21" t="s">
        <v>13</v>
      </c>
      <c r="F740" s="297">
        <f>F741</f>
        <v>25</v>
      </c>
      <c r="G740" s="263"/>
      <c r="H740" s="13"/>
    </row>
    <row r="741" spans="1:8" ht="31.5" x14ac:dyDescent="0.2">
      <c r="A741" s="20" t="s">
        <v>1081</v>
      </c>
      <c r="B741" s="21">
        <v>903</v>
      </c>
      <c r="C741" s="22" t="s">
        <v>1080</v>
      </c>
      <c r="D741" s="22"/>
      <c r="E741" s="21"/>
      <c r="F741" s="294">
        <f>F742</f>
        <v>25</v>
      </c>
      <c r="G741" s="12"/>
      <c r="H741" s="13"/>
    </row>
    <row r="742" spans="1:8" ht="48.75" customHeight="1" x14ac:dyDescent="0.2">
      <c r="A742" s="20" t="s">
        <v>75</v>
      </c>
      <c r="B742" s="21">
        <v>903</v>
      </c>
      <c r="C742" s="22" t="s">
        <v>1080</v>
      </c>
      <c r="D742" s="22" t="s">
        <v>76</v>
      </c>
      <c r="E742" s="21" t="s">
        <v>13</v>
      </c>
      <c r="F742" s="294">
        <f>F743</f>
        <v>25</v>
      </c>
      <c r="G742" s="12"/>
      <c r="H742" s="13"/>
    </row>
    <row r="743" spans="1:8" ht="22.5" customHeight="1" x14ac:dyDescent="0.2">
      <c r="A743" s="20" t="s">
        <v>77</v>
      </c>
      <c r="B743" s="21">
        <v>903</v>
      </c>
      <c r="C743" s="22" t="s">
        <v>1080</v>
      </c>
      <c r="D743" s="22" t="s">
        <v>78</v>
      </c>
      <c r="E743" s="21" t="s">
        <v>13</v>
      </c>
      <c r="F743" s="294">
        <f>F744</f>
        <v>25</v>
      </c>
      <c r="G743" s="23"/>
      <c r="H743" s="13"/>
    </row>
    <row r="744" spans="1:8" ht="33" customHeight="1" x14ac:dyDescent="0.2">
      <c r="A744" s="24" t="s">
        <v>80</v>
      </c>
      <c r="B744" s="21">
        <v>903</v>
      </c>
      <c r="C744" s="22" t="s">
        <v>1080</v>
      </c>
      <c r="D744" s="22" t="s">
        <v>81</v>
      </c>
      <c r="E744" s="21"/>
      <c r="F744" s="294">
        <f>F745</f>
        <v>25</v>
      </c>
      <c r="G744" s="17"/>
      <c r="H744" s="13"/>
    </row>
    <row r="745" spans="1:8" ht="38.25" customHeight="1" x14ac:dyDescent="0.2">
      <c r="A745" s="14" t="s">
        <v>43</v>
      </c>
      <c r="B745" s="21">
        <v>903</v>
      </c>
      <c r="C745" s="22" t="s">
        <v>1080</v>
      </c>
      <c r="D745" s="22" t="s">
        <v>81</v>
      </c>
      <c r="E745" s="21">
        <v>240</v>
      </c>
      <c r="F745" s="294">
        <f>25</f>
        <v>25</v>
      </c>
      <c r="G745" s="17"/>
      <c r="H745" s="13"/>
    </row>
    <row r="746" spans="1:8" s="154" customFormat="1" ht="18" customHeight="1" x14ac:dyDescent="0.2">
      <c r="A746" s="34" t="s">
        <v>396</v>
      </c>
      <c r="B746" s="35">
        <v>903</v>
      </c>
      <c r="C746" s="35" t="s">
        <v>397</v>
      </c>
      <c r="D746" s="22"/>
      <c r="E746" s="92"/>
      <c r="F746" s="297">
        <f>F747</f>
        <v>342</v>
      </c>
      <c r="G746" s="241"/>
      <c r="H746" s="204"/>
    </row>
    <row r="747" spans="1:8" s="154" customFormat="1" ht="18" customHeight="1" x14ac:dyDescent="0.2">
      <c r="A747" s="34" t="s">
        <v>404</v>
      </c>
      <c r="B747" s="100">
        <v>903</v>
      </c>
      <c r="C747" s="100">
        <v>1003</v>
      </c>
      <c r="D747" s="36"/>
      <c r="E747" s="100"/>
      <c r="F747" s="297">
        <f>F748</f>
        <v>342</v>
      </c>
      <c r="G747" s="241"/>
      <c r="H747" s="204"/>
    </row>
    <row r="748" spans="1:8" s="154" customFormat="1" ht="18" customHeight="1" x14ac:dyDescent="0.2">
      <c r="A748" s="14" t="s">
        <v>45</v>
      </c>
      <c r="B748" s="92">
        <v>903</v>
      </c>
      <c r="C748" s="92">
        <v>1003</v>
      </c>
      <c r="D748" s="8" t="s">
        <v>46</v>
      </c>
      <c r="E748" s="7" t="s">
        <v>13</v>
      </c>
      <c r="F748" s="294">
        <f>F749</f>
        <v>342</v>
      </c>
      <c r="G748" s="241"/>
      <c r="H748" s="204"/>
    </row>
    <row r="749" spans="1:8" s="154" customFormat="1" ht="35.25" customHeight="1" x14ac:dyDescent="0.2">
      <c r="A749" s="97" t="s">
        <v>845</v>
      </c>
      <c r="B749" s="92">
        <v>903</v>
      </c>
      <c r="C749" s="92">
        <v>1003</v>
      </c>
      <c r="D749" s="8" t="s">
        <v>864</v>
      </c>
      <c r="E749" s="95"/>
      <c r="F749" s="294">
        <f>SUM(F750:F750)</f>
        <v>342</v>
      </c>
      <c r="G749" s="241"/>
      <c r="H749" s="204"/>
    </row>
    <row r="750" spans="1:8" s="154" customFormat="1" ht="18" customHeight="1" x14ac:dyDescent="0.2">
      <c r="A750" s="14" t="s">
        <v>403</v>
      </c>
      <c r="B750" s="92">
        <v>903</v>
      </c>
      <c r="C750" s="92">
        <v>1003</v>
      </c>
      <c r="D750" s="8" t="s">
        <v>864</v>
      </c>
      <c r="E750" s="95">
        <v>310</v>
      </c>
      <c r="F750" s="294">
        <v>342</v>
      </c>
      <c r="G750" s="257"/>
      <c r="H750" s="204"/>
    </row>
    <row r="751" spans="1:8" ht="15.75" customHeight="1" x14ac:dyDescent="0.2">
      <c r="A751" s="102" t="s">
        <v>499</v>
      </c>
      <c r="B751" s="103" t="s">
        <v>500</v>
      </c>
      <c r="C751" s="103" t="s">
        <v>13</v>
      </c>
      <c r="D751" s="103" t="s">
        <v>13</v>
      </c>
      <c r="E751" s="103" t="s">
        <v>13</v>
      </c>
      <c r="F751" s="338">
        <f>F752+F784+F778</f>
        <v>717069.4</v>
      </c>
      <c r="G751" s="89"/>
      <c r="H751" s="13"/>
    </row>
    <row r="752" spans="1:8" ht="15.75" customHeight="1" x14ac:dyDescent="0.2">
      <c r="A752" s="99" t="s">
        <v>14</v>
      </c>
      <c r="B752" s="100" t="s">
        <v>500</v>
      </c>
      <c r="C752" s="211" t="s">
        <v>15</v>
      </c>
      <c r="D752" s="36" t="s">
        <v>13</v>
      </c>
      <c r="E752" s="100" t="s">
        <v>13</v>
      </c>
      <c r="F752" s="297">
        <f>F753+F769+F765</f>
        <v>682044.4</v>
      </c>
      <c r="H752" s="13"/>
    </row>
    <row r="753" spans="1:15" ht="38.25" customHeight="1" x14ac:dyDescent="0.2">
      <c r="A753" s="91" t="s">
        <v>501</v>
      </c>
      <c r="B753" s="92" t="s">
        <v>500</v>
      </c>
      <c r="C753" s="92" t="s">
        <v>502</v>
      </c>
      <c r="D753" s="22" t="s">
        <v>13</v>
      </c>
      <c r="E753" s="92" t="s">
        <v>13</v>
      </c>
      <c r="F753" s="294">
        <f>F754+F760</f>
        <v>93149.5</v>
      </c>
      <c r="H753" s="13"/>
    </row>
    <row r="754" spans="1:15" ht="47.25" customHeight="1" x14ac:dyDescent="0.2">
      <c r="A754" s="91" t="s">
        <v>75</v>
      </c>
      <c r="B754" s="92" t="s">
        <v>500</v>
      </c>
      <c r="C754" s="92" t="s">
        <v>502</v>
      </c>
      <c r="D754" s="22" t="s">
        <v>76</v>
      </c>
      <c r="E754" s="92" t="s">
        <v>13</v>
      </c>
      <c r="F754" s="294">
        <f>F755</f>
        <v>25</v>
      </c>
      <c r="H754" s="13"/>
    </row>
    <row r="755" spans="1:15" ht="15.75" customHeight="1" x14ac:dyDescent="0.2">
      <c r="A755" s="97" t="s">
        <v>77</v>
      </c>
      <c r="B755" s="95" t="s">
        <v>500</v>
      </c>
      <c r="C755" s="95" t="s">
        <v>502</v>
      </c>
      <c r="D755" s="8" t="s">
        <v>78</v>
      </c>
      <c r="E755" s="95" t="s">
        <v>13</v>
      </c>
      <c r="F755" s="294">
        <f>F756+F758</f>
        <v>25</v>
      </c>
      <c r="H755" s="13"/>
    </row>
    <row r="756" spans="1:15" ht="17.25" customHeight="1" x14ac:dyDescent="0.2">
      <c r="A756" s="97" t="s">
        <v>47</v>
      </c>
      <c r="B756" s="95" t="s">
        <v>500</v>
      </c>
      <c r="C756" s="95" t="s">
        <v>502</v>
      </c>
      <c r="D756" s="8" t="s">
        <v>79</v>
      </c>
      <c r="E756" s="95"/>
      <c r="F756" s="294">
        <f>F757</f>
        <v>25</v>
      </c>
      <c r="H756" s="13"/>
    </row>
    <row r="757" spans="1:15" ht="31.5" customHeight="1" x14ac:dyDescent="0.2">
      <c r="A757" s="97" t="s">
        <v>25</v>
      </c>
      <c r="B757" s="95" t="s">
        <v>500</v>
      </c>
      <c r="C757" s="95" t="s">
        <v>502</v>
      </c>
      <c r="D757" s="8" t="s">
        <v>79</v>
      </c>
      <c r="E757" s="95">
        <v>120</v>
      </c>
      <c r="F757" s="294">
        <v>25</v>
      </c>
      <c r="G757" s="109"/>
      <c r="H757" s="13"/>
    </row>
    <row r="758" spans="1:15" ht="31.5" customHeight="1" x14ac:dyDescent="0.2">
      <c r="A758" s="105" t="s">
        <v>80</v>
      </c>
      <c r="B758" s="95" t="s">
        <v>500</v>
      </c>
      <c r="C758" s="95" t="s">
        <v>502</v>
      </c>
      <c r="D758" s="8" t="s">
        <v>81</v>
      </c>
      <c r="E758" s="95"/>
      <c r="F758" s="294">
        <f>F759</f>
        <v>0</v>
      </c>
      <c r="G758" s="89"/>
      <c r="H758" s="13"/>
    </row>
    <row r="759" spans="1:15" ht="31.5" customHeight="1" x14ac:dyDescent="0.2">
      <c r="A759" s="14" t="s">
        <v>43</v>
      </c>
      <c r="B759" s="95" t="s">
        <v>500</v>
      </c>
      <c r="C759" s="95" t="s">
        <v>502</v>
      </c>
      <c r="D759" s="8" t="s">
        <v>81</v>
      </c>
      <c r="E759" s="95">
        <v>240</v>
      </c>
      <c r="F759" s="294">
        <f>25-25</f>
        <v>0</v>
      </c>
      <c r="G759" s="17"/>
      <c r="H759" s="13"/>
    </row>
    <row r="760" spans="1:15" ht="31.5" customHeight="1" x14ac:dyDescent="0.2">
      <c r="A760" s="91" t="s">
        <v>18</v>
      </c>
      <c r="B760" s="92" t="s">
        <v>500</v>
      </c>
      <c r="C760" s="92" t="s">
        <v>502</v>
      </c>
      <c r="D760" s="22" t="s">
        <v>19</v>
      </c>
      <c r="E760" s="92"/>
      <c r="F760" s="294">
        <f>F761</f>
        <v>93124.5</v>
      </c>
      <c r="H760" s="13"/>
    </row>
    <row r="761" spans="1:15" ht="15.75" customHeight="1" x14ac:dyDescent="0.2">
      <c r="A761" s="91" t="s">
        <v>62</v>
      </c>
      <c r="B761" s="92" t="s">
        <v>500</v>
      </c>
      <c r="C761" s="92" t="s">
        <v>502</v>
      </c>
      <c r="D761" s="22" t="s">
        <v>63</v>
      </c>
      <c r="E761" s="92"/>
      <c r="F761" s="294">
        <f>F762</f>
        <v>93124.5</v>
      </c>
      <c r="H761" s="13"/>
    </row>
    <row r="762" spans="1:15" ht="15.75" customHeight="1" x14ac:dyDescent="0.2">
      <c r="A762" s="91" t="s">
        <v>29</v>
      </c>
      <c r="B762" s="92" t="s">
        <v>500</v>
      </c>
      <c r="C762" s="92" t="s">
        <v>502</v>
      </c>
      <c r="D762" s="22" t="s">
        <v>64</v>
      </c>
      <c r="E762" s="92"/>
      <c r="F762" s="294">
        <f>F763</f>
        <v>93124.5</v>
      </c>
      <c r="H762" s="13"/>
    </row>
    <row r="763" spans="1:15" ht="15.75" customHeight="1" x14ac:dyDescent="0.2">
      <c r="A763" s="14" t="s">
        <v>773</v>
      </c>
      <c r="B763" s="92" t="s">
        <v>500</v>
      </c>
      <c r="C763" s="92" t="s">
        <v>502</v>
      </c>
      <c r="D763" s="22" t="s">
        <v>65</v>
      </c>
      <c r="E763" s="92"/>
      <c r="F763" s="294">
        <f>F764</f>
        <v>93124.5</v>
      </c>
      <c r="H763" s="13"/>
    </row>
    <row r="764" spans="1:15" ht="31.5" customHeight="1" x14ac:dyDescent="0.2">
      <c r="A764" s="91" t="s">
        <v>25</v>
      </c>
      <c r="B764" s="92" t="s">
        <v>500</v>
      </c>
      <c r="C764" s="92" t="s">
        <v>502</v>
      </c>
      <c r="D764" s="22" t="s">
        <v>65</v>
      </c>
      <c r="E764" s="92">
        <v>120</v>
      </c>
      <c r="F764" s="294">
        <f>89998.8+3125.7</f>
        <v>93124.5</v>
      </c>
      <c r="G764" s="62"/>
      <c r="H764" s="13"/>
    </row>
    <row r="765" spans="1:15" ht="15.75" customHeight="1" x14ac:dyDescent="0.2">
      <c r="A765" s="91" t="s">
        <v>503</v>
      </c>
      <c r="B765" s="92">
        <v>904</v>
      </c>
      <c r="C765" s="98" t="s">
        <v>504</v>
      </c>
      <c r="D765" s="22"/>
      <c r="E765" s="92"/>
      <c r="F765" s="294">
        <f>F766</f>
        <v>584594.9</v>
      </c>
      <c r="H765" s="13"/>
    </row>
    <row r="766" spans="1:15" ht="15.75" customHeight="1" x14ac:dyDescent="0.2">
      <c r="A766" s="94" t="s">
        <v>45</v>
      </c>
      <c r="B766" s="92">
        <v>904</v>
      </c>
      <c r="C766" s="98" t="s">
        <v>504</v>
      </c>
      <c r="D766" s="22" t="s">
        <v>46</v>
      </c>
      <c r="E766" s="92"/>
      <c r="F766" s="294">
        <f>F767</f>
        <v>584594.9</v>
      </c>
      <c r="H766" s="13"/>
    </row>
    <row r="767" spans="1:15" ht="15.75" customHeight="1" x14ac:dyDescent="0.2">
      <c r="A767" s="94" t="s">
        <v>505</v>
      </c>
      <c r="B767" s="92">
        <v>904</v>
      </c>
      <c r="C767" s="98" t="s">
        <v>504</v>
      </c>
      <c r="D767" s="22" t="s">
        <v>506</v>
      </c>
      <c r="E767" s="92"/>
      <c r="F767" s="294">
        <f>F768</f>
        <v>584594.9</v>
      </c>
      <c r="H767" s="13"/>
    </row>
    <row r="768" spans="1:15" ht="25.5" customHeight="1" x14ac:dyDescent="0.2">
      <c r="A768" s="94" t="s">
        <v>507</v>
      </c>
      <c r="B768" s="92">
        <v>904</v>
      </c>
      <c r="C768" s="98" t="s">
        <v>504</v>
      </c>
      <c r="D768" s="22" t="s">
        <v>506</v>
      </c>
      <c r="E768" s="92">
        <v>870</v>
      </c>
      <c r="F768" s="294">
        <f>319663.7+266797.2-1460.6-405.4</f>
        <v>584594.9</v>
      </c>
      <c r="G768" s="269"/>
      <c r="H768" s="341"/>
      <c r="I768" s="256"/>
      <c r="J768" s="245"/>
      <c r="K768" s="262"/>
      <c r="L768" s="118"/>
      <c r="M768" s="198"/>
      <c r="O768" s="277"/>
    </row>
    <row r="769" spans="1:8" ht="15.75" customHeight="1" x14ac:dyDescent="0.2">
      <c r="A769" s="91" t="s">
        <v>32</v>
      </c>
      <c r="B769" s="92" t="s">
        <v>500</v>
      </c>
      <c r="C769" s="92" t="s">
        <v>33</v>
      </c>
      <c r="D769" s="22" t="s">
        <v>13</v>
      </c>
      <c r="E769" s="92" t="s">
        <v>13</v>
      </c>
      <c r="F769" s="294">
        <f>F770</f>
        <v>4300</v>
      </c>
      <c r="H769" s="13"/>
    </row>
    <row r="770" spans="1:8" ht="15.75" customHeight="1" x14ac:dyDescent="0.2">
      <c r="A770" s="91" t="s">
        <v>34</v>
      </c>
      <c r="B770" s="92" t="s">
        <v>500</v>
      </c>
      <c r="C770" s="92" t="s">
        <v>33</v>
      </c>
      <c r="D770" s="22" t="s">
        <v>35</v>
      </c>
      <c r="E770" s="92" t="s">
        <v>13</v>
      </c>
      <c r="F770" s="294">
        <f>F771</f>
        <v>4300</v>
      </c>
      <c r="H770" s="13"/>
    </row>
    <row r="771" spans="1:8" ht="15.75" customHeight="1" x14ac:dyDescent="0.2">
      <c r="A771" s="91" t="s">
        <v>45</v>
      </c>
      <c r="B771" s="92" t="s">
        <v>500</v>
      </c>
      <c r="C771" s="92" t="s">
        <v>33</v>
      </c>
      <c r="D771" s="22" t="s">
        <v>46</v>
      </c>
      <c r="E771" s="92" t="s">
        <v>13</v>
      </c>
      <c r="F771" s="294">
        <f>F772+F775</f>
        <v>4300</v>
      </c>
      <c r="H771" s="13"/>
    </row>
    <row r="772" spans="1:8" ht="15.75" customHeight="1" x14ac:dyDescent="0.2">
      <c r="A772" s="91" t="s">
        <v>47</v>
      </c>
      <c r="B772" s="92" t="s">
        <v>500</v>
      </c>
      <c r="C772" s="92" t="s">
        <v>33</v>
      </c>
      <c r="D772" s="22" t="s">
        <v>48</v>
      </c>
      <c r="E772" s="92"/>
      <c r="F772" s="294">
        <f>F773+F774</f>
        <v>2405</v>
      </c>
      <c r="H772" s="13"/>
    </row>
    <row r="773" spans="1:8" ht="31.5" customHeight="1" x14ac:dyDescent="0.2">
      <c r="A773" s="14" t="s">
        <v>43</v>
      </c>
      <c r="B773" s="92" t="s">
        <v>500</v>
      </c>
      <c r="C773" s="92" t="s">
        <v>33</v>
      </c>
      <c r="D773" s="22" t="s">
        <v>48</v>
      </c>
      <c r="E773" s="92">
        <v>240</v>
      </c>
      <c r="F773" s="294">
        <v>2331.6999999999998</v>
      </c>
      <c r="G773" s="15"/>
      <c r="H773" s="13"/>
    </row>
    <row r="774" spans="1:8" ht="15.75" customHeight="1" x14ac:dyDescent="0.2">
      <c r="A774" s="91" t="s">
        <v>44</v>
      </c>
      <c r="B774" s="92" t="s">
        <v>500</v>
      </c>
      <c r="C774" s="92" t="s">
        <v>33</v>
      </c>
      <c r="D774" s="22" t="s">
        <v>48</v>
      </c>
      <c r="E774" s="92">
        <v>850</v>
      </c>
      <c r="F774" s="294">
        <v>73.3</v>
      </c>
      <c r="G774" s="15"/>
      <c r="H774" s="13"/>
    </row>
    <row r="775" spans="1:8" ht="31.5" customHeight="1" x14ac:dyDescent="0.2">
      <c r="A775" s="20" t="s">
        <v>49</v>
      </c>
      <c r="B775" s="21" t="s">
        <v>500</v>
      </c>
      <c r="C775" s="21" t="s">
        <v>33</v>
      </c>
      <c r="D775" s="22" t="s">
        <v>50</v>
      </c>
      <c r="E775" s="21" t="s">
        <v>13</v>
      </c>
      <c r="F775" s="294">
        <f>SUM(F776)</f>
        <v>1895</v>
      </c>
      <c r="G775" s="89"/>
      <c r="H775" s="13"/>
    </row>
    <row r="776" spans="1:8" ht="15.75" customHeight="1" x14ac:dyDescent="0.2">
      <c r="A776" s="20" t="s">
        <v>51</v>
      </c>
      <c r="B776" s="21" t="s">
        <v>500</v>
      </c>
      <c r="C776" s="21" t="s">
        <v>33</v>
      </c>
      <c r="D776" s="22" t="s">
        <v>52</v>
      </c>
      <c r="E776" s="21"/>
      <c r="F776" s="294">
        <f>F777</f>
        <v>1895</v>
      </c>
      <c r="G776" s="89"/>
      <c r="H776" s="13"/>
    </row>
    <row r="777" spans="1:8" ht="31.5" customHeight="1" x14ac:dyDescent="0.2">
      <c r="A777" s="14" t="s">
        <v>43</v>
      </c>
      <c r="B777" s="21" t="s">
        <v>500</v>
      </c>
      <c r="C777" s="21" t="s">
        <v>33</v>
      </c>
      <c r="D777" s="22" t="s">
        <v>52</v>
      </c>
      <c r="E777" s="21">
        <v>240</v>
      </c>
      <c r="F777" s="294">
        <v>1895</v>
      </c>
      <c r="G777" s="254"/>
      <c r="H777" s="13"/>
    </row>
    <row r="778" spans="1:8" ht="15.75" customHeight="1" x14ac:dyDescent="0.2">
      <c r="A778" s="34" t="s">
        <v>345</v>
      </c>
      <c r="B778" s="35">
        <v>904</v>
      </c>
      <c r="C778" s="35" t="s">
        <v>346</v>
      </c>
      <c r="D778" s="22" t="s">
        <v>13</v>
      </c>
      <c r="E778" s="21" t="s">
        <v>13</v>
      </c>
      <c r="F778" s="297">
        <f>F779</f>
        <v>25</v>
      </c>
      <c r="G778" s="263"/>
      <c r="H778" s="13"/>
    </row>
    <row r="779" spans="1:8" ht="31.5" x14ac:dyDescent="0.2">
      <c r="A779" s="20" t="s">
        <v>1081</v>
      </c>
      <c r="B779" s="21" t="s">
        <v>500</v>
      </c>
      <c r="C779" s="22" t="s">
        <v>1080</v>
      </c>
      <c r="D779" s="22"/>
      <c r="E779" s="21"/>
      <c r="F779" s="294">
        <f>F780</f>
        <v>25</v>
      </c>
      <c r="G779" s="12"/>
      <c r="H779" s="13"/>
    </row>
    <row r="780" spans="1:8" ht="48.75" customHeight="1" x14ac:dyDescent="0.2">
      <c r="A780" s="20" t="s">
        <v>75</v>
      </c>
      <c r="B780" s="21" t="s">
        <v>500</v>
      </c>
      <c r="C780" s="22" t="s">
        <v>1080</v>
      </c>
      <c r="D780" s="22" t="s">
        <v>76</v>
      </c>
      <c r="E780" s="21" t="s">
        <v>13</v>
      </c>
      <c r="F780" s="294">
        <f>F781</f>
        <v>25</v>
      </c>
      <c r="G780" s="12"/>
      <c r="H780" s="13"/>
    </row>
    <row r="781" spans="1:8" ht="22.5" customHeight="1" x14ac:dyDescent="0.2">
      <c r="A781" s="20" t="s">
        <v>77</v>
      </c>
      <c r="B781" s="21" t="s">
        <v>500</v>
      </c>
      <c r="C781" s="22" t="s">
        <v>1080</v>
      </c>
      <c r="D781" s="22" t="s">
        <v>78</v>
      </c>
      <c r="E781" s="21" t="s">
        <v>13</v>
      </c>
      <c r="F781" s="294">
        <f>F782</f>
        <v>25</v>
      </c>
      <c r="G781" s="23"/>
      <c r="H781" s="13"/>
    </row>
    <row r="782" spans="1:8" ht="33" customHeight="1" x14ac:dyDescent="0.2">
      <c r="A782" s="24" t="s">
        <v>80</v>
      </c>
      <c r="B782" s="21" t="s">
        <v>500</v>
      </c>
      <c r="C782" s="22" t="s">
        <v>1080</v>
      </c>
      <c r="D782" s="22" t="s">
        <v>81</v>
      </c>
      <c r="E782" s="21"/>
      <c r="F782" s="294">
        <f>F783</f>
        <v>25</v>
      </c>
      <c r="G782" s="17"/>
      <c r="H782" s="13"/>
    </row>
    <row r="783" spans="1:8" ht="38.25" customHeight="1" x14ac:dyDescent="0.2">
      <c r="A783" s="14" t="s">
        <v>43</v>
      </c>
      <c r="B783" s="21" t="s">
        <v>500</v>
      </c>
      <c r="C783" s="22" t="s">
        <v>1080</v>
      </c>
      <c r="D783" s="22" t="s">
        <v>81</v>
      </c>
      <c r="E783" s="21">
        <v>240</v>
      </c>
      <c r="F783" s="294">
        <f>25</f>
        <v>25</v>
      </c>
      <c r="G783" s="17"/>
      <c r="H783" s="13"/>
    </row>
    <row r="784" spans="1:8" ht="31.5" customHeight="1" x14ac:dyDescent="0.2">
      <c r="A784" s="34" t="s">
        <v>508</v>
      </c>
      <c r="B784" s="35" t="s">
        <v>500</v>
      </c>
      <c r="C784" s="35" t="s">
        <v>509</v>
      </c>
      <c r="D784" s="36" t="s">
        <v>13</v>
      </c>
      <c r="E784" s="35" t="s">
        <v>13</v>
      </c>
      <c r="F784" s="296">
        <f>F785</f>
        <v>35000</v>
      </c>
      <c r="H784" s="13"/>
    </row>
    <row r="785" spans="1:9" ht="35.25" customHeight="1" x14ac:dyDescent="0.2">
      <c r="A785" s="20" t="s">
        <v>510</v>
      </c>
      <c r="B785" s="21" t="s">
        <v>500</v>
      </c>
      <c r="C785" s="21" t="s">
        <v>511</v>
      </c>
      <c r="D785" s="22" t="s">
        <v>13</v>
      </c>
      <c r="E785" s="21" t="s">
        <v>13</v>
      </c>
      <c r="F785" s="208">
        <f>F786</f>
        <v>35000</v>
      </c>
      <c r="G785" s="12"/>
      <c r="H785" s="13"/>
    </row>
    <row r="786" spans="1:9" ht="46.5" customHeight="1" x14ac:dyDescent="0.2">
      <c r="A786" s="20" t="s">
        <v>941</v>
      </c>
      <c r="B786" s="21" t="s">
        <v>500</v>
      </c>
      <c r="C786" s="21" t="s">
        <v>511</v>
      </c>
      <c r="D786" s="22" t="s">
        <v>512</v>
      </c>
      <c r="E786" s="21" t="s">
        <v>13</v>
      </c>
      <c r="F786" s="208">
        <f>F787</f>
        <v>35000</v>
      </c>
      <c r="G786" s="12"/>
      <c r="H786" s="13"/>
    </row>
    <row r="787" spans="1:9" ht="15.75" customHeight="1" x14ac:dyDescent="0.2">
      <c r="A787" s="20" t="s">
        <v>513</v>
      </c>
      <c r="B787" s="21" t="s">
        <v>500</v>
      </c>
      <c r="C787" s="21" t="s">
        <v>511</v>
      </c>
      <c r="D787" s="22" t="s">
        <v>514</v>
      </c>
      <c r="E787" s="21" t="s">
        <v>13</v>
      </c>
      <c r="F787" s="208">
        <f>SUM(F788)</f>
        <v>35000</v>
      </c>
      <c r="G787" s="12"/>
      <c r="H787" s="13"/>
    </row>
    <row r="788" spans="1:9" ht="15.75" customHeight="1" x14ac:dyDescent="0.2">
      <c r="A788" s="20" t="s">
        <v>515</v>
      </c>
      <c r="B788" s="21" t="s">
        <v>500</v>
      </c>
      <c r="C788" s="21" t="s">
        <v>511</v>
      </c>
      <c r="D788" s="22" t="s">
        <v>514</v>
      </c>
      <c r="E788" s="21" t="s">
        <v>516</v>
      </c>
      <c r="F788" s="208">
        <v>35000</v>
      </c>
      <c r="G788" s="15"/>
      <c r="H788" s="13"/>
    </row>
    <row r="789" spans="1:9" ht="15.75" customHeight="1" x14ac:dyDescent="0.2">
      <c r="A789" s="102" t="s">
        <v>810</v>
      </c>
      <c r="B789" s="103" t="s">
        <v>517</v>
      </c>
      <c r="C789" s="103" t="s">
        <v>13</v>
      </c>
      <c r="D789" s="246" t="s">
        <v>13</v>
      </c>
      <c r="E789" s="103" t="s">
        <v>13</v>
      </c>
      <c r="F789" s="307">
        <f>F790+F814+F820+F827</f>
        <v>115110.3</v>
      </c>
      <c r="G789" s="89"/>
      <c r="H789" s="13"/>
      <c r="I789" s="108"/>
    </row>
    <row r="790" spans="1:9" ht="15.75" customHeight="1" x14ac:dyDescent="0.2">
      <c r="A790" s="34" t="s">
        <v>14</v>
      </c>
      <c r="B790" s="35" t="s">
        <v>517</v>
      </c>
      <c r="C790" s="35" t="s">
        <v>15</v>
      </c>
      <c r="D790" s="36" t="s">
        <v>13</v>
      </c>
      <c r="E790" s="35" t="s">
        <v>13</v>
      </c>
      <c r="F790" s="297">
        <f>F791</f>
        <v>108440.3</v>
      </c>
      <c r="G790" s="12"/>
      <c r="H790" s="13"/>
    </row>
    <row r="791" spans="1:9" ht="15.75" customHeight="1" x14ac:dyDescent="0.2">
      <c r="A791" s="20" t="s">
        <v>32</v>
      </c>
      <c r="B791" s="21" t="s">
        <v>517</v>
      </c>
      <c r="C791" s="21" t="s">
        <v>33</v>
      </c>
      <c r="D791" s="22" t="s">
        <v>13</v>
      </c>
      <c r="E791" s="21" t="s">
        <v>13</v>
      </c>
      <c r="F791" s="294">
        <f>F792+F796+F801</f>
        <v>108440.3</v>
      </c>
      <c r="G791" s="12"/>
      <c r="H791" s="13"/>
    </row>
    <row r="792" spans="1:9" ht="47.25" customHeight="1" x14ac:dyDescent="0.2">
      <c r="A792" s="20" t="s">
        <v>75</v>
      </c>
      <c r="B792" s="21">
        <v>905</v>
      </c>
      <c r="C792" s="21" t="s">
        <v>33</v>
      </c>
      <c r="D792" s="22" t="s">
        <v>76</v>
      </c>
      <c r="E792" s="21" t="s">
        <v>13</v>
      </c>
      <c r="F792" s="294">
        <f>F793</f>
        <v>0</v>
      </c>
      <c r="G792" s="12"/>
      <c r="H792" s="13"/>
    </row>
    <row r="793" spans="1:9" ht="15.75" customHeight="1" x14ac:dyDescent="0.2">
      <c r="A793" s="20" t="s">
        <v>77</v>
      </c>
      <c r="B793" s="21">
        <v>905</v>
      </c>
      <c r="C793" s="21" t="s">
        <v>33</v>
      </c>
      <c r="D793" s="22" t="s">
        <v>78</v>
      </c>
      <c r="E793" s="21" t="s">
        <v>13</v>
      </c>
      <c r="F793" s="294">
        <f>F794</f>
        <v>0</v>
      </c>
      <c r="G793" s="12"/>
      <c r="H793" s="13"/>
    </row>
    <row r="794" spans="1:9" ht="31.5" customHeight="1" x14ac:dyDescent="0.2">
      <c r="A794" s="24" t="s">
        <v>80</v>
      </c>
      <c r="B794" s="21">
        <v>905</v>
      </c>
      <c r="C794" s="21" t="s">
        <v>33</v>
      </c>
      <c r="D794" s="22" t="s">
        <v>81</v>
      </c>
      <c r="E794" s="21"/>
      <c r="F794" s="294">
        <f>F795</f>
        <v>0</v>
      </c>
      <c r="G794" s="30"/>
      <c r="H794" s="13"/>
    </row>
    <row r="795" spans="1:9" ht="31.5" customHeight="1" x14ac:dyDescent="0.2">
      <c r="A795" s="14" t="s">
        <v>43</v>
      </c>
      <c r="B795" s="21">
        <v>905</v>
      </c>
      <c r="C795" s="21" t="s">
        <v>33</v>
      </c>
      <c r="D795" s="22" t="s">
        <v>81</v>
      </c>
      <c r="E795" s="21">
        <v>240</v>
      </c>
      <c r="F795" s="294">
        <f>50-50</f>
        <v>0</v>
      </c>
      <c r="G795" s="17"/>
      <c r="H795" s="13"/>
    </row>
    <row r="796" spans="1:9" ht="31.5" customHeight="1" x14ac:dyDescent="0.2">
      <c r="A796" s="20" t="s">
        <v>18</v>
      </c>
      <c r="B796" s="21" t="s">
        <v>517</v>
      </c>
      <c r="C796" s="21" t="s">
        <v>33</v>
      </c>
      <c r="D796" s="22" t="s">
        <v>19</v>
      </c>
      <c r="E796" s="21"/>
      <c r="F796" s="294">
        <f>F797</f>
        <v>57680.5</v>
      </c>
      <c r="G796" s="12"/>
      <c r="H796" s="13"/>
    </row>
    <row r="797" spans="1:9" ht="15.75" customHeight="1" x14ac:dyDescent="0.2">
      <c r="A797" s="20" t="s">
        <v>62</v>
      </c>
      <c r="B797" s="21" t="s">
        <v>517</v>
      </c>
      <c r="C797" s="21" t="s">
        <v>33</v>
      </c>
      <c r="D797" s="22" t="s">
        <v>63</v>
      </c>
      <c r="E797" s="21"/>
      <c r="F797" s="294">
        <f>F798</f>
        <v>57680.5</v>
      </c>
      <c r="G797" s="12"/>
      <c r="H797" s="13"/>
    </row>
    <row r="798" spans="1:9" ht="15.75" customHeight="1" x14ac:dyDescent="0.2">
      <c r="A798" s="20" t="s">
        <v>29</v>
      </c>
      <c r="B798" s="21" t="s">
        <v>517</v>
      </c>
      <c r="C798" s="21" t="s">
        <v>33</v>
      </c>
      <c r="D798" s="22" t="s">
        <v>64</v>
      </c>
      <c r="E798" s="21"/>
      <c r="F798" s="294">
        <f>F799</f>
        <v>57680.5</v>
      </c>
      <c r="G798" s="12"/>
      <c r="H798" s="13"/>
    </row>
    <row r="799" spans="1:9" ht="15.75" customHeight="1" x14ac:dyDescent="0.2">
      <c r="A799" s="14" t="s">
        <v>773</v>
      </c>
      <c r="B799" s="21" t="s">
        <v>517</v>
      </c>
      <c r="C799" s="21" t="s">
        <v>33</v>
      </c>
      <c r="D799" s="22" t="s">
        <v>65</v>
      </c>
      <c r="E799" s="21"/>
      <c r="F799" s="294">
        <f>F800</f>
        <v>57680.5</v>
      </c>
      <c r="G799" s="23"/>
      <c r="H799" s="13"/>
    </row>
    <row r="800" spans="1:9" ht="31.5" customHeight="1" x14ac:dyDescent="0.2">
      <c r="A800" s="20" t="s">
        <v>25</v>
      </c>
      <c r="B800" s="21" t="s">
        <v>517</v>
      </c>
      <c r="C800" s="21" t="s">
        <v>33</v>
      </c>
      <c r="D800" s="22" t="s">
        <v>65</v>
      </c>
      <c r="E800" s="21">
        <v>120</v>
      </c>
      <c r="F800" s="294">
        <f>56475.5+1205</f>
        <v>57680.5</v>
      </c>
      <c r="G800" s="176"/>
      <c r="H800" s="13"/>
    </row>
    <row r="801" spans="1:8" ht="20.25" customHeight="1" x14ac:dyDescent="0.2">
      <c r="A801" s="20" t="s">
        <v>34</v>
      </c>
      <c r="B801" s="21" t="s">
        <v>517</v>
      </c>
      <c r="C801" s="21" t="s">
        <v>33</v>
      </c>
      <c r="D801" s="22" t="s">
        <v>35</v>
      </c>
      <c r="E801" s="21" t="s">
        <v>13</v>
      </c>
      <c r="F801" s="294">
        <f>F802+F807</f>
        <v>50759.8</v>
      </c>
      <c r="G801" s="63"/>
      <c r="H801" s="13"/>
    </row>
    <row r="802" spans="1:8" ht="31.5" customHeight="1" x14ac:dyDescent="0.2">
      <c r="A802" s="20" t="s">
        <v>521</v>
      </c>
      <c r="B802" s="21" t="s">
        <v>517</v>
      </c>
      <c r="C802" s="21" t="s">
        <v>33</v>
      </c>
      <c r="D802" s="22" t="s">
        <v>522</v>
      </c>
      <c r="E802" s="21"/>
      <c r="F802" s="294">
        <f>F803</f>
        <v>42793.8</v>
      </c>
      <c r="G802" s="23"/>
      <c r="H802" s="13"/>
    </row>
    <row r="803" spans="1:8" ht="31.5" customHeight="1" x14ac:dyDescent="0.2">
      <c r="A803" s="20" t="s">
        <v>40</v>
      </c>
      <c r="B803" s="21" t="s">
        <v>517</v>
      </c>
      <c r="C803" s="21" t="s">
        <v>33</v>
      </c>
      <c r="D803" s="22" t="s">
        <v>523</v>
      </c>
      <c r="E803" s="21"/>
      <c r="F803" s="294">
        <f>SUM(F804:F806)</f>
        <v>42793.8</v>
      </c>
      <c r="G803" s="63"/>
      <c r="H803" s="13"/>
    </row>
    <row r="804" spans="1:8" ht="15.75" customHeight="1" x14ac:dyDescent="0.2">
      <c r="A804" s="20" t="s">
        <v>42</v>
      </c>
      <c r="B804" s="21" t="s">
        <v>517</v>
      </c>
      <c r="C804" s="21" t="s">
        <v>33</v>
      </c>
      <c r="D804" s="22" t="s">
        <v>523</v>
      </c>
      <c r="E804" s="21">
        <v>110</v>
      </c>
      <c r="F804" s="294">
        <f>38069.9+723.9</f>
        <v>38793.800000000003</v>
      </c>
      <c r="G804" s="18"/>
      <c r="H804" s="13"/>
    </row>
    <row r="805" spans="1:8" ht="31.5" customHeight="1" x14ac:dyDescent="0.2">
      <c r="A805" s="14" t="s">
        <v>43</v>
      </c>
      <c r="B805" s="21" t="s">
        <v>517</v>
      </c>
      <c r="C805" s="21" t="s">
        <v>33</v>
      </c>
      <c r="D805" s="22" t="s">
        <v>523</v>
      </c>
      <c r="E805" s="21">
        <v>240</v>
      </c>
      <c r="F805" s="294">
        <v>3890</v>
      </c>
      <c r="G805" s="62"/>
      <c r="H805" s="15"/>
    </row>
    <row r="806" spans="1:8" ht="31.5" customHeight="1" x14ac:dyDescent="0.2">
      <c r="A806" s="20" t="s">
        <v>289</v>
      </c>
      <c r="B806" s="21" t="s">
        <v>517</v>
      </c>
      <c r="C806" s="21" t="s">
        <v>33</v>
      </c>
      <c r="D806" s="22" t="s">
        <v>523</v>
      </c>
      <c r="E806" s="21">
        <v>320</v>
      </c>
      <c r="F806" s="294">
        <v>110</v>
      </c>
      <c r="G806" s="18"/>
      <c r="H806" s="15"/>
    </row>
    <row r="807" spans="1:8" ht="15.75" customHeight="1" x14ac:dyDescent="0.2">
      <c r="A807" s="20" t="s">
        <v>45</v>
      </c>
      <c r="B807" s="21" t="s">
        <v>517</v>
      </c>
      <c r="C807" s="21" t="s">
        <v>33</v>
      </c>
      <c r="D807" s="22" t="s">
        <v>46</v>
      </c>
      <c r="E807" s="21" t="s">
        <v>13</v>
      </c>
      <c r="F807" s="294">
        <f>F808+F811</f>
        <v>7966</v>
      </c>
      <c r="G807" s="12"/>
      <c r="H807" s="13"/>
    </row>
    <row r="808" spans="1:8" ht="15.75" customHeight="1" x14ac:dyDescent="0.2">
      <c r="A808" s="20" t="s">
        <v>47</v>
      </c>
      <c r="B808" s="21" t="s">
        <v>517</v>
      </c>
      <c r="C808" s="21" t="s">
        <v>33</v>
      </c>
      <c r="D808" s="22" t="s">
        <v>48</v>
      </c>
      <c r="E808" s="21"/>
      <c r="F808" s="294">
        <f>SUM(F809:F810)</f>
        <v>6966</v>
      </c>
      <c r="G808" s="12"/>
      <c r="H808" s="13"/>
    </row>
    <row r="809" spans="1:8" ht="31.5" customHeight="1" x14ac:dyDescent="0.2">
      <c r="A809" s="14" t="s">
        <v>43</v>
      </c>
      <c r="B809" s="21" t="s">
        <v>517</v>
      </c>
      <c r="C809" s="21" t="s">
        <v>33</v>
      </c>
      <c r="D809" s="22" t="s">
        <v>48</v>
      </c>
      <c r="E809" s="21">
        <v>240</v>
      </c>
      <c r="F809" s="294">
        <f>6028.4-796</f>
        <v>5232.3999999999996</v>
      </c>
      <c r="G809" s="254"/>
      <c r="H809" s="15"/>
    </row>
    <row r="810" spans="1:8" ht="15.75" customHeight="1" x14ac:dyDescent="0.2">
      <c r="A810" s="20" t="s">
        <v>44</v>
      </c>
      <c r="B810" s="21" t="s">
        <v>517</v>
      </c>
      <c r="C810" s="21" t="s">
        <v>33</v>
      </c>
      <c r="D810" s="22" t="s">
        <v>48</v>
      </c>
      <c r="E810" s="21">
        <v>850</v>
      </c>
      <c r="F810" s="294">
        <f>1767.6-34</f>
        <v>1733.6</v>
      </c>
      <c r="G810" s="252"/>
      <c r="H810" s="13"/>
    </row>
    <row r="811" spans="1:8" ht="31.5" customHeight="1" x14ac:dyDescent="0.2">
      <c r="A811" s="20" t="s">
        <v>49</v>
      </c>
      <c r="B811" s="21" t="s">
        <v>517</v>
      </c>
      <c r="C811" s="21" t="s">
        <v>33</v>
      </c>
      <c r="D811" s="22" t="s">
        <v>50</v>
      </c>
      <c r="E811" s="21" t="s">
        <v>13</v>
      </c>
      <c r="F811" s="294">
        <f>SUM(F812)</f>
        <v>1000</v>
      </c>
      <c r="G811" s="64"/>
      <c r="H811" s="13"/>
    </row>
    <row r="812" spans="1:8" ht="15.75" customHeight="1" x14ac:dyDescent="0.2">
      <c r="A812" s="20" t="s">
        <v>51</v>
      </c>
      <c r="B812" s="21" t="s">
        <v>517</v>
      </c>
      <c r="C812" s="21" t="s">
        <v>33</v>
      </c>
      <c r="D812" s="22" t="s">
        <v>52</v>
      </c>
      <c r="E812" s="21"/>
      <c r="F812" s="294">
        <f>F813</f>
        <v>1000</v>
      </c>
      <c r="G812" s="64"/>
      <c r="H812" s="13"/>
    </row>
    <row r="813" spans="1:8" ht="15.75" customHeight="1" x14ac:dyDescent="0.2">
      <c r="A813" s="20" t="s">
        <v>145</v>
      </c>
      <c r="B813" s="21" t="s">
        <v>517</v>
      </c>
      <c r="C813" s="21" t="s">
        <v>33</v>
      </c>
      <c r="D813" s="22" t="s">
        <v>52</v>
      </c>
      <c r="E813" s="21">
        <v>830</v>
      </c>
      <c r="F813" s="294">
        <v>1000</v>
      </c>
      <c r="G813" s="15"/>
      <c r="H813" s="13"/>
    </row>
    <row r="814" spans="1:8" ht="15.75" customHeight="1" x14ac:dyDescent="0.2">
      <c r="A814" s="34" t="s">
        <v>189</v>
      </c>
      <c r="B814" s="35" t="s">
        <v>517</v>
      </c>
      <c r="C814" s="35" t="s">
        <v>190</v>
      </c>
      <c r="D814" s="322" t="s">
        <v>13</v>
      </c>
      <c r="E814" s="11" t="s">
        <v>13</v>
      </c>
      <c r="F814" s="297">
        <f>F815</f>
        <v>1500</v>
      </c>
      <c r="G814" s="12"/>
      <c r="H814" s="13"/>
    </row>
    <row r="815" spans="1:8" ht="15.75" customHeight="1" x14ac:dyDescent="0.2">
      <c r="A815" s="20" t="s">
        <v>253</v>
      </c>
      <c r="B815" s="21" t="s">
        <v>517</v>
      </c>
      <c r="C815" s="21" t="s">
        <v>254</v>
      </c>
      <c r="D815" s="8" t="s">
        <v>13</v>
      </c>
      <c r="E815" s="7" t="s">
        <v>13</v>
      </c>
      <c r="F815" s="294">
        <f>F816</f>
        <v>1500</v>
      </c>
      <c r="G815" s="12"/>
      <c r="H815" s="13"/>
    </row>
    <row r="816" spans="1:8" ht="51" customHeight="1" x14ac:dyDescent="0.2">
      <c r="A816" s="20" t="s">
        <v>242</v>
      </c>
      <c r="B816" s="21" t="s">
        <v>517</v>
      </c>
      <c r="C816" s="21" t="s">
        <v>254</v>
      </c>
      <c r="D816" s="22" t="s">
        <v>243</v>
      </c>
      <c r="E816" s="21" t="s">
        <v>13</v>
      </c>
      <c r="F816" s="294">
        <f>F817</f>
        <v>1500</v>
      </c>
      <c r="G816" s="79"/>
      <c r="H816" s="110"/>
    </row>
    <row r="817" spans="1:8" ht="51" customHeight="1" x14ac:dyDescent="0.2">
      <c r="A817" s="14" t="s">
        <v>787</v>
      </c>
      <c r="B817" s="21">
        <v>905</v>
      </c>
      <c r="C817" s="22" t="s">
        <v>254</v>
      </c>
      <c r="D817" s="22" t="s">
        <v>788</v>
      </c>
      <c r="E817" s="21"/>
      <c r="F817" s="294">
        <f>F818</f>
        <v>1500</v>
      </c>
      <c r="G817" s="79"/>
      <c r="H817" s="110"/>
    </row>
    <row r="818" spans="1:8" ht="31.5" customHeight="1" x14ac:dyDescent="0.2">
      <c r="A818" s="20" t="s">
        <v>82</v>
      </c>
      <c r="B818" s="21">
        <v>905</v>
      </c>
      <c r="C818" s="22" t="s">
        <v>254</v>
      </c>
      <c r="D818" s="22" t="s">
        <v>789</v>
      </c>
      <c r="E818" s="21"/>
      <c r="F818" s="294">
        <f>F819</f>
        <v>1500</v>
      </c>
      <c r="G818" s="79"/>
      <c r="H818" s="110"/>
    </row>
    <row r="819" spans="1:8" ht="31.5" customHeight="1" x14ac:dyDescent="0.2">
      <c r="A819" s="14" t="s">
        <v>43</v>
      </c>
      <c r="B819" s="21">
        <v>905</v>
      </c>
      <c r="C819" s="22" t="s">
        <v>254</v>
      </c>
      <c r="D819" s="22" t="s">
        <v>789</v>
      </c>
      <c r="E819" s="21">
        <v>240</v>
      </c>
      <c r="F819" s="294">
        <v>1500</v>
      </c>
      <c r="G819" s="132"/>
      <c r="H819" s="110"/>
    </row>
    <row r="820" spans="1:8" ht="15.75" customHeight="1" x14ac:dyDescent="0.2">
      <c r="A820" s="34" t="s">
        <v>278</v>
      </c>
      <c r="B820" s="35" t="s">
        <v>517</v>
      </c>
      <c r="C820" s="35" t="s">
        <v>279</v>
      </c>
      <c r="D820" s="36" t="s">
        <v>13</v>
      </c>
      <c r="E820" s="35" t="s">
        <v>13</v>
      </c>
      <c r="F820" s="297">
        <f t="shared" ref="F820:F825" si="0">F821</f>
        <v>5120</v>
      </c>
      <c r="G820" s="12"/>
      <c r="H820" s="13"/>
    </row>
    <row r="821" spans="1:8" ht="15.75" customHeight="1" x14ac:dyDescent="0.2">
      <c r="A821" s="20" t="s">
        <v>320</v>
      </c>
      <c r="B821" s="21" t="s">
        <v>517</v>
      </c>
      <c r="C821" s="21" t="s">
        <v>321</v>
      </c>
      <c r="D821" s="22" t="s">
        <v>13</v>
      </c>
      <c r="E821" s="21" t="s">
        <v>13</v>
      </c>
      <c r="F821" s="294">
        <f t="shared" si="0"/>
        <v>5120</v>
      </c>
      <c r="G821" s="12"/>
      <c r="H821" s="13"/>
    </row>
    <row r="822" spans="1:8" ht="47.25" customHeight="1" x14ac:dyDescent="0.2">
      <c r="A822" s="20" t="s">
        <v>326</v>
      </c>
      <c r="B822" s="21" t="s">
        <v>517</v>
      </c>
      <c r="C822" s="21" t="s">
        <v>321</v>
      </c>
      <c r="D822" s="22" t="s">
        <v>327</v>
      </c>
      <c r="E822" s="21" t="s">
        <v>13</v>
      </c>
      <c r="F822" s="294">
        <f t="shared" si="0"/>
        <v>5120</v>
      </c>
      <c r="G822" s="12"/>
      <c r="H822" s="13"/>
    </row>
    <row r="823" spans="1:8" ht="63" customHeight="1" x14ac:dyDescent="0.2">
      <c r="A823" s="20" t="s">
        <v>536</v>
      </c>
      <c r="B823" s="7" t="s">
        <v>517</v>
      </c>
      <c r="C823" s="7" t="s">
        <v>321</v>
      </c>
      <c r="D823" s="8" t="s">
        <v>537</v>
      </c>
      <c r="E823" s="7" t="s">
        <v>13</v>
      </c>
      <c r="F823" s="294">
        <f t="shared" si="0"/>
        <v>5120</v>
      </c>
      <c r="G823" s="12"/>
      <c r="H823" s="13"/>
    </row>
    <row r="824" spans="1:8" ht="47.25" customHeight="1" x14ac:dyDescent="0.2">
      <c r="A824" s="20" t="s">
        <v>538</v>
      </c>
      <c r="B824" s="21" t="s">
        <v>517</v>
      </c>
      <c r="C824" s="21" t="s">
        <v>321</v>
      </c>
      <c r="D824" s="22" t="s">
        <v>539</v>
      </c>
      <c r="E824" s="21" t="s">
        <v>13</v>
      </c>
      <c r="F824" s="294">
        <f t="shared" si="0"/>
        <v>5120</v>
      </c>
      <c r="G824" s="12"/>
      <c r="H824" s="13"/>
    </row>
    <row r="825" spans="1:8" ht="31.5" customHeight="1" x14ac:dyDescent="0.2">
      <c r="A825" s="20" t="s">
        <v>82</v>
      </c>
      <c r="B825" s="21" t="s">
        <v>517</v>
      </c>
      <c r="C825" s="21" t="s">
        <v>321</v>
      </c>
      <c r="D825" s="22" t="s">
        <v>540</v>
      </c>
      <c r="E825" s="21"/>
      <c r="F825" s="294">
        <f t="shared" si="0"/>
        <v>5120</v>
      </c>
      <c r="G825" s="12"/>
      <c r="H825" s="13"/>
    </row>
    <row r="826" spans="1:8" ht="31.5" customHeight="1" x14ac:dyDescent="0.2">
      <c r="A826" s="14" t="s">
        <v>43</v>
      </c>
      <c r="B826" s="21" t="s">
        <v>517</v>
      </c>
      <c r="C826" s="21" t="s">
        <v>321</v>
      </c>
      <c r="D826" s="22" t="s">
        <v>540</v>
      </c>
      <c r="E826" s="21">
        <v>240</v>
      </c>
      <c r="F826" s="208">
        <f>4120+1000</f>
        <v>5120</v>
      </c>
      <c r="G826" s="196"/>
      <c r="H826" s="353"/>
    </row>
    <row r="827" spans="1:8" ht="31.5" customHeight="1" x14ac:dyDescent="0.2">
      <c r="A827" s="34" t="s">
        <v>345</v>
      </c>
      <c r="B827" s="35">
        <v>905</v>
      </c>
      <c r="C827" s="35" t="s">
        <v>346</v>
      </c>
      <c r="D827" s="22" t="s">
        <v>13</v>
      </c>
      <c r="E827" s="21" t="s">
        <v>13</v>
      </c>
      <c r="F827" s="297">
        <f>F828</f>
        <v>50</v>
      </c>
      <c r="G827" s="263"/>
      <c r="H827" s="13"/>
    </row>
    <row r="828" spans="1:8" ht="31.5" customHeight="1" x14ac:dyDescent="0.2">
      <c r="A828" s="20" t="s">
        <v>1081</v>
      </c>
      <c r="B828" s="21">
        <v>905</v>
      </c>
      <c r="C828" s="22" t="s">
        <v>1080</v>
      </c>
      <c r="D828" s="22"/>
      <c r="E828" s="21"/>
      <c r="F828" s="294">
        <f>F829</f>
        <v>50</v>
      </c>
      <c r="G828" s="12"/>
      <c r="H828" s="13"/>
    </row>
    <row r="829" spans="1:8" ht="31.5" customHeight="1" x14ac:dyDescent="0.2">
      <c r="A829" s="20" t="s">
        <v>75</v>
      </c>
      <c r="B829" s="21">
        <v>905</v>
      </c>
      <c r="C829" s="22" t="s">
        <v>1080</v>
      </c>
      <c r="D829" s="22" t="s">
        <v>76</v>
      </c>
      <c r="E829" s="21" t="s">
        <v>13</v>
      </c>
      <c r="F829" s="294">
        <f>F830</f>
        <v>50</v>
      </c>
      <c r="G829" s="12"/>
      <c r="H829" s="13"/>
    </row>
    <row r="830" spans="1:8" ht="31.5" customHeight="1" x14ac:dyDescent="0.2">
      <c r="A830" s="20" t="s">
        <v>77</v>
      </c>
      <c r="B830" s="21">
        <v>905</v>
      </c>
      <c r="C830" s="22" t="s">
        <v>1080</v>
      </c>
      <c r="D830" s="22" t="s">
        <v>78</v>
      </c>
      <c r="E830" s="21" t="s">
        <v>13</v>
      </c>
      <c r="F830" s="294">
        <f>F831</f>
        <v>50</v>
      </c>
      <c r="G830" s="23"/>
      <c r="H830" s="13"/>
    </row>
    <row r="831" spans="1:8" ht="31.5" customHeight="1" x14ac:dyDescent="0.2">
      <c r="A831" s="24" t="s">
        <v>80</v>
      </c>
      <c r="B831" s="21">
        <v>905</v>
      </c>
      <c r="C831" s="22" t="s">
        <v>1080</v>
      </c>
      <c r="D831" s="22" t="s">
        <v>81</v>
      </c>
      <c r="E831" s="21"/>
      <c r="F831" s="294">
        <f>F832</f>
        <v>50</v>
      </c>
      <c r="G831" s="17"/>
      <c r="H831" s="13"/>
    </row>
    <row r="832" spans="1:8" ht="31.5" customHeight="1" x14ac:dyDescent="0.2">
      <c r="A832" s="14" t="s">
        <v>43</v>
      </c>
      <c r="B832" s="21">
        <v>905</v>
      </c>
      <c r="C832" s="22" t="s">
        <v>1080</v>
      </c>
      <c r="D832" s="22" t="s">
        <v>81</v>
      </c>
      <c r="E832" s="21">
        <v>240</v>
      </c>
      <c r="F832" s="294">
        <f>50</f>
        <v>50</v>
      </c>
      <c r="G832" s="17"/>
      <c r="H832" s="13"/>
    </row>
    <row r="833" spans="1:9" ht="42" customHeight="1" x14ac:dyDescent="0.2">
      <c r="A833" s="102" t="s">
        <v>541</v>
      </c>
      <c r="B833" s="299" t="s">
        <v>542</v>
      </c>
      <c r="C833" s="299" t="s">
        <v>13</v>
      </c>
      <c r="D833" s="300" t="s">
        <v>13</v>
      </c>
      <c r="E833" s="299" t="s">
        <v>13</v>
      </c>
      <c r="F833" s="337">
        <f>F834+F841+F857+F865+F1105</f>
        <v>6882654.0999999996</v>
      </c>
      <c r="G833" s="65"/>
      <c r="H833" s="167"/>
    </row>
    <row r="834" spans="1:9" ht="15.75" customHeight="1" x14ac:dyDescent="0.2">
      <c r="A834" s="34" t="s">
        <v>14</v>
      </c>
      <c r="B834" s="301" t="s">
        <v>542</v>
      </c>
      <c r="C834" s="301" t="s">
        <v>15</v>
      </c>
      <c r="D834" s="324" t="s">
        <v>13</v>
      </c>
      <c r="E834" s="301" t="s">
        <v>13</v>
      </c>
      <c r="F834" s="334">
        <f>F835</f>
        <v>1876.2</v>
      </c>
      <c r="G834" s="12"/>
      <c r="H834" s="13"/>
    </row>
    <row r="835" spans="1:9" ht="15.75" customHeight="1" x14ac:dyDescent="0.2">
      <c r="A835" s="20" t="s">
        <v>32</v>
      </c>
      <c r="B835" s="45" t="s">
        <v>542</v>
      </c>
      <c r="C835" s="45" t="s">
        <v>33</v>
      </c>
      <c r="D835" s="302" t="s">
        <v>13</v>
      </c>
      <c r="E835" s="45" t="s">
        <v>13</v>
      </c>
      <c r="F835" s="288">
        <f>F836</f>
        <v>1876.2</v>
      </c>
      <c r="G835" s="12"/>
      <c r="H835" s="13"/>
    </row>
    <row r="836" spans="1:9" ht="15.75" customHeight="1" x14ac:dyDescent="0.2">
      <c r="A836" s="20" t="s">
        <v>34</v>
      </c>
      <c r="B836" s="45" t="s">
        <v>542</v>
      </c>
      <c r="C836" s="45" t="s">
        <v>33</v>
      </c>
      <c r="D836" s="302" t="s">
        <v>35</v>
      </c>
      <c r="E836" s="45" t="s">
        <v>13</v>
      </c>
      <c r="F836" s="288">
        <f>F837</f>
        <v>1876.2</v>
      </c>
      <c r="G836" s="12"/>
      <c r="H836" s="13"/>
    </row>
    <row r="837" spans="1:9" ht="15.75" customHeight="1" x14ac:dyDescent="0.2">
      <c r="A837" s="20" t="s">
        <v>45</v>
      </c>
      <c r="B837" s="45" t="s">
        <v>542</v>
      </c>
      <c r="C837" s="45" t="s">
        <v>33</v>
      </c>
      <c r="D837" s="302" t="s">
        <v>46</v>
      </c>
      <c r="E837" s="45" t="s">
        <v>13</v>
      </c>
      <c r="F837" s="288">
        <f>F838</f>
        <v>1876.2</v>
      </c>
      <c r="G837" s="12"/>
      <c r="H837" s="13"/>
      <c r="I837" s="119"/>
    </row>
    <row r="838" spans="1:9" ht="15.75" customHeight="1" x14ac:dyDescent="0.2">
      <c r="A838" s="20" t="s">
        <v>47</v>
      </c>
      <c r="B838" s="45" t="s">
        <v>542</v>
      </c>
      <c r="C838" s="45" t="s">
        <v>33</v>
      </c>
      <c r="D838" s="302" t="s">
        <v>48</v>
      </c>
      <c r="E838" s="45"/>
      <c r="F838" s="288">
        <f>F839+F840</f>
        <v>1876.2</v>
      </c>
      <c r="G838" s="12"/>
      <c r="H838" s="13"/>
    </row>
    <row r="839" spans="1:9" ht="35.25" customHeight="1" x14ac:dyDescent="0.2">
      <c r="A839" s="14" t="s">
        <v>43</v>
      </c>
      <c r="B839" s="45" t="s">
        <v>542</v>
      </c>
      <c r="C839" s="45" t="s">
        <v>33</v>
      </c>
      <c r="D839" s="302" t="s">
        <v>48</v>
      </c>
      <c r="E839" s="45">
        <v>240</v>
      </c>
      <c r="F839" s="288">
        <v>1786.3</v>
      </c>
      <c r="G839" s="257"/>
      <c r="H839" s="268"/>
    </row>
    <row r="840" spans="1:9" ht="15.75" customHeight="1" x14ac:dyDescent="0.2">
      <c r="A840" s="20" t="s">
        <v>44</v>
      </c>
      <c r="B840" s="45" t="s">
        <v>542</v>
      </c>
      <c r="C840" s="45" t="s">
        <v>33</v>
      </c>
      <c r="D840" s="302" t="s">
        <v>48</v>
      </c>
      <c r="E840" s="45">
        <v>850</v>
      </c>
      <c r="F840" s="288">
        <f>14.9+75</f>
        <v>89.9</v>
      </c>
      <c r="G840" s="18"/>
      <c r="H840" s="13"/>
    </row>
    <row r="841" spans="1:9" ht="15.75" customHeight="1" x14ac:dyDescent="0.2">
      <c r="A841" s="34" t="s">
        <v>189</v>
      </c>
      <c r="B841" s="301" t="s">
        <v>542</v>
      </c>
      <c r="C841" s="301" t="s">
        <v>190</v>
      </c>
      <c r="D841" s="324" t="s">
        <v>13</v>
      </c>
      <c r="E841" s="301" t="s">
        <v>13</v>
      </c>
      <c r="F841" s="334">
        <f>F842+F852</f>
        <v>12281.900000000001</v>
      </c>
      <c r="G841" s="12"/>
      <c r="H841" s="13"/>
    </row>
    <row r="842" spans="1:9" ht="15.75" customHeight="1" x14ac:dyDescent="0.2">
      <c r="A842" s="20" t="s">
        <v>191</v>
      </c>
      <c r="B842" s="45" t="s">
        <v>542</v>
      </c>
      <c r="C842" s="45" t="s">
        <v>192</v>
      </c>
      <c r="D842" s="302" t="s">
        <v>13</v>
      </c>
      <c r="E842" s="45" t="s">
        <v>13</v>
      </c>
      <c r="F842" s="288">
        <f>F843</f>
        <v>12081.900000000001</v>
      </c>
      <c r="G842" s="12"/>
      <c r="H842" s="13"/>
    </row>
    <row r="843" spans="1:9" ht="31.5" customHeight="1" x14ac:dyDescent="0.2">
      <c r="A843" s="20" t="s">
        <v>349</v>
      </c>
      <c r="B843" s="45" t="s">
        <v>542</v>
      </c>
      <c r="C843" s="45" t="s">
        <v>192</v>
      </c>
      <c r="D843" s="302" t="s">
        <v>350</v>
      </c>
      <c r="E843" s="45" t="s">
        <v>13</v>
      </c>
      <c r="F843" s="288">
        <f>F844</f>
        <v>12081.900000000001</v>
      </c>
      <c r="G843" s="12"/>
      <c r="H843" s="13"/>
    </row>
    <row r="844" spans="1:9" ht="31.5" customHeight="1" x14ac:dyDescent="0.2">
      <c r="A844" s="20" t="s">
        <v>543</v>
      </c>
      <c r="B844" s="45" t="s">
        <v>542</v>
      </c>
      <c r="C844" s="45" t="s">
        <v>192</v>
      </c>
      <c r="D844" s="302" t="s">
        <v>544</v>
      </c>
      <c r="E844" s="45" t="s">
        <v>13</v>
      </c>
      <c r="F844" s="288">
        <f>F845</f>
        <v>12081.900000000001</v>
      </c>
      <c r="G844" s="12"/>
      <c r="H844" s="13"/>
    </row>
    <row r="845" spans="1:9" ht="31.5" customHeight="1" x14ac:dyDescent="0.2">
      <c r="A845" s="20" t="s">
        <v>545</v>
      </c>
      <c r="B845" s="45" t="s">
        <v>542</v>
      </c>
      <c r="C845" s="45" t="s">
        <v>192</v>
      </c>
      <c r="D845" s="302" t="s">
        <v>546</v>
      </c>
      <c r="E845" s="45" t="s">
        <v>13</v>
      </c>
      <c r="F845" s="288">
        <f>F846+F849</f>
        <v>12081.900000000001</v>
      </c>
      <c r="G845" s="12"/>
      <c r="H845" s="13"/>
    </row>
    <row r="846" spans="1:9" ht="31.5" customHeight="1" x14ac:dyDescent="0.2">
      <c r="A846" s="20" t="s">
        <v>40</v>
      </c>
      <c r="B846" s="45" t="s">
        <v>542</v>
      </c>
      <c r="C846" s="45" t="s">
        <v>192</v>
      </c>
      <c r="D846" s="302" t="s">
        <v>547</v>
      </c>
      <c r="E846" s="45"/>
      <c r="F846" s="288">
        <f>F847+F848</f>
        <v>10291.200000000001</v>
      </c>
      <c r="G846" s="12"/>
      <c r="H846" s="13"/>
    </row>
    <row r="847" spans="1:9" x14ac:dyDescent="0.2">
      <c r="A847" s="20" t="s">
        <v>998</v>
      </c>
      <c r="B847" s="45" t="s">
        <v>542</v>
      </c>
      <c r="C847" s="45" t="s">
        <v>192</v>
      </c>
      <c r="D847" s="302" t="s">
        <v>547</v>
      </c>
      <c r="E847" s="45">
        <v>610</v>
      </c>
      <c r="F847" s="288">
        <f>4343.8+1000</f>
        <v>5343.8</v>
      </c>
      <c r="G847" s="59"/>
      <c r="H847" s="13"/>
    </row>
    <row r="848" spans="1:9" x14ac:dyDescent="0.2">
      <c r="A848" s="20" t="s">
        <v>997</v>
      </c>
      <c r="B848" s="45" t="s">
        <v>542</v>
      </c>
      <c r="C848" s="45" t="s">
        <v>192</v>
      </c>
      <c r="D848" s="302" t="s">
        <v>547</v>
      </c>
      <c r="E848" s="45">
        <v>620</v>
      </c>
      <c r="F848" s="288">
        <f>3947.4+1000</f>
        <v>4947.3999999999996</v>
      </c>
      <c r="G848" s="59"/>
      <c r="H848" s="13"/>
    </row>
    <row r="849" spans="1:8" ht="130.5" customHeight="1" x14ac:dyDescent="0.2">
      <c r="A849" s="20" t="s">
        <v>548</v>
      </c>
      <c r="B849" s="45" t="s">
        <v>542</v>
      </c>
      <c r="C849" s="45" t="s">
        <v>192</v>
      </c>
      <c r="D849" s="302" t="s">
        <v>549</v>
      </c>
      <c r="E849" s="45" t="s">
        <v>13</v>
      </c>
      <c r="F849" s="298">
        <f>F850+F851</f>
        <v>1790.7</v>
      </c>
      <c r="G849" s="12"/>
      <c r="H849" s="13"/>
    </row>
    <row r="850" spans="1:8" x14ac:dyDescent="0.2">
      <c r="A850" s="20" t="s">
        <v>998</v>
      </c>
      <c r="B850" s="45" t="s">
        <v>542</v>
      </c>
      <c r="C850" s="45" t="s">
        <v>192</v>
      </c>
      <c r="D850" s="302" t="s">
        <v>549</v>
      </c>
      <c r="E850" s="45">
        <v>610</v>
      </c>
      <c r="F850" s="298">
        <v>890.7</v>
      </c>
      <c r="G850" s="74"/>
      <c r="H850" s="13"/>
    </row>
    <row r="851" spans="1:8" x14ac:dyDescent="0.2">
      <c r="A851" s="20" t="s">
        <v>997</v>
      </c>
      <c r="B851" s="45" t="s">
        <v>542</v>
      </c>
      <c r="C851" s="45" t="s">
        <v>192</v>
      </c>
      <c r="D851" s="302" t="s">
        <v>549</v>
      </c>
      <c r="E851" s="45">
        <v>620</v>
      </c>
      <c r="F851" s="298">
        <v>900</v>
      </c>
      <c r="G851" s="74"/>
      <c r="H851" s="13"/>
    </row>
    <row r="852" spans="1:8" ht="15.75" customHeight="1" x14ac:dyDescent="0.2">
      <c r="A852" s="20" t="s">
        <v>253</v>
      </c>
      <c r="B852" s="45" t="s">
        <v>542</v>
      </c>
      <c r="C852" s="302" t="s">
        <v>254</v>
      </c>
      <c r="D852" s="302"/>
      <c r="E852" s="45"/>
      <c r="F852" s="288">
        <f>F853</f>
        <v>200</v>
      </c>
      <c r="G852" s="52"/>
      <c r="H852" s="13"/>
    </row>
    <row r="853" spans="1:8" ht="34.5" customHeight="1" x14ac:dyDescent="0.2">
      <c r="A853" s="20" t="s">
        <v>882</v>
      </c>
      <c r="B853" s="45" t="s">
        <v>542</v>
      </c>
      <c r="C853" s="302" t="s">
        <v>254</v>
      </c>
      <c r="D853" s="302" t="s">
        <v>883</v>
      </c>
      <c r="E853" s="45"/>
      <c r="F853" s="288">
        <f>F854</f>
        <v>200</v>
      </c>
      <c r="G853" s="52"/>
      <c r="H853" s="13"/>
    </row>
    <row r="854" spans="1:8" ht="33" customHeight="1" x14ac:dyDescent="0.2">
      <c r="A854" s="14" t="s">
        <v>888</v>
      </c>
      <c r="B854" s="45" t="s">
        <v>542</v>
      </c>
      <c r="C854" s="302" t="s">
        <v>254</v>
      </c>
      <c r="D854" s="302" t="s">
        <v>887</v>
      </c>
      <c r="E854" s="45"/>
      <c r="F854" s="288">
        <f>F855</f>
        <v>200</v>
      </c>
      <c r="G854" s="52"/>
      <c r="H854" s="13"/>
    </row>
    <row r="855" spans="1:8" ht="35.25" customHeight="1" x14ac:dyDescent="0.2">
      <c r="A855" s="20" t="s">
        <v>40</v>
      </c>
      <c r="B855" s="45" t="s">
        <v>542</v>
      </c>
      <c r="C855" s="302" t="s">
        <v>254</v>
      </c>
      <c r="D855" s="302" t="s">
        <v>890</v>
      </c>
      <c r="E855" s="45"/>
      <c r="F855" s="288">
        <f>F856</f>
        <v>200</v>
      </c>
      <c r="G855" s="52"/>
      <c r="H855" s="13"/>
    </row>
    <row r="856" spans="1:8" ht="15.75" customHeight="1" x14ac:dyDescent="0.2">
      <c r="A856" s="20" t="s">
        <v>997</v>
      </c>
      <c r="B856" s="45" t="s">
        <v>542</v>
      </c>
      <c r="C856" s="302" t="s">
        <v>254</v>
      </c>
      <c r="D856" s="302" t="s">
        <v>890</v>
      </c>
      <c r="E856" s="45">
        <v>620</v>
      </c>
      <c r="F856" s="288">
        <f>200</f>
        <v>200</v>
      </c>
      <c r="G856" s="17"/>
      <c r="H856" s="13"/>
    </row>
    <row r="857" spans="1:8" ht="15.75" customHeight="1" x14ac:dyDescent="0.2">
      <c r="A857" s="34" t="s">
        <v>333</v>
      </c>
      <c r="B857" s="301" t="s">
        <v>542</v>
      </c>
      <c r="C857" s="301" t="s">
        <v>334</v>
      </c>
      <c r="D857" s="324" t="s">
        <v>13</v>
      </c>
      <c r="E857" s="301" t="s">
        <v>13</v>
      </c>
      <c r="F857" s="334">
        <f>F858</f>
        <v>135</v>
      </c>
      <c r="G857" s="12"/>
      <c r="H857" s="13"/>
    </row>
    <row r="858" spans="1:8" ht="15.75" customHeight="1" x14ac:dyDescent="0.2">
      <c r="A858" s="20" t="s">
        <v>335</v>
      </c>
      <c r="B858" s="45" t="s">
        <v>542</v>
      </c>
      <c r="C858" s="45" t="s">
        <v>336</v>
      </c>
      <c r="D858" s="302" t="s">
        <v>13</v>
      </c>
      <c r="E858" s="45" t="s">
        <v>13</v>
      </c>
      <c r="F858" s="288">
        <f>F859</f>
        <v>135</v>
      </c>
      <c r="G858" s="12"/>
      <c r="H858" s="13"/>
    </row>
    <row r="859" spans="1:8" ht="51.75" customHeight="1" x14ac:dyDescent="0.2">
      <c r="A859" s="20" t="s">
        <v>337</v>
      </c>
      <c r="B859" s="45" t="s">
        <v>542</v>
      </c>
      <c r="C859" s="45" t="s">
        <v>336</v>
      </c>
      <c r="D859" s="325" t="s">
        <v>338</v>
      </c>
      <c r="E859" s="45" t="s">
        <v>13</v>
      </c>
      <c r="F859" s="288">
        <f>F860</f>
        <v>135</v>
      </c>
      <c r="G859" s="12"/>
      <c r="H859" s="13"/>
    </row>
    <row r="860" spans="1:8" ht="31.5" customHeight="1" x14ac:dyDescent="0.2">
      <c r="A860" s="20" t="s">
        <v>550</v>
      </c>
      <c r="B860" s="45" t="s">
        <v>542</v>
      </c>
      <c r="C860" s="45" t="s">
        <v>336</v>
      </c>
      <c r="D860" s="325" t="s">
        <v>342</v>
      </c>
      <c r="E860" s="45" t="s">
        <v>13</v>
      </c>
      <c r="F860" s="288">
        <f>F861</f>
        <v>135</v>
      </c>
      <c r="G860" s="12"/>
      <c r="H860" s="13"/>
    </row>
    <row r="861" spans="1:8" ht="37.5" customHeight="1" x14ac:dyDescent="0.2">
      <c r="A861" s="20" t="s">
        <v>343</v>
      </c>
      <c r="B861" s="45" t="s">
        <v>542</v>
      </c>
      <c r="C861" s="45" t="s">
        <v>336</v>
      </c>
      <c r="D861" s="325" t="s">
        <v>344</v>
      </c>
      <c r="E861" s="45" t="s">
        <v>13</v>
      </c>
      <c r="F861" s="288">
        <f>SUM(F862)</f>
        <v>135</v>
      </c>
      <c r="G861" s="12"/>
      <c r="H861" s="13"/>
    </row>
    <row r="862" spans="1:8" ht="31.5" customHeight="1" x14ac:dyDescent="0.2">
      <c r="A862" s="20" t="s">
        <v>40</v>
      </c>
      <c r="B862" s="45" t="s">
        <v>542</v>
      </c>
      <c r="C862" s="45" t="s">
        <v>336</v>
      </c>
      <c r="D862" s="325" t="s">
        <v>551</v>
      </c>
      <c r="E862" s="45"/>
      <c r="F862" s="288">
        <f>F863+F864</f>
        <v>135</v>
      </c>
      <c r="G862" s="12"/>
      <c r="H862" s="13"/>
    </row>
    <row r="863" spans="1:8" ht="15.75" customHeight="1" x14ac:dyDescent="0.2">
      <c r="A863" s="20" t="s">
        <v>998</v>
      </c>
      <c r="B863" s="45" t="s">
        <v>542</v>
      </c>
      <c r="C863" s="45" t="s">
        <v>336</v>
      </c>
      <c r="D863" s="302" t="s">
        <v>551</v>
      </c>
      <c r="E863" s="45">
        <v>610</v>
      </c>
      <c r="F863" s="288">
        <f>51</f>
        <v>51</v>
      </c>
      <c r="G863" s="200"/>
      <c r="H863" s="67"/>
    </row>
    <row r="864" spans="1:8" ht="15.75" customHeight="1" x14ac:dyDescent="0.2">
      <c r="A864" s="14" t="s">
        <v>997</v>
      </c>
      <c r="B864" s="45" t="s">
        <v>542</v>
      </c>
      <c r="C864" s="45" t="s">
        <v>336</v>
      </c>
      <c r="D864" s="302" t="s">
        <v>551</v>
      </c>
      <c r="E864" s="45">
        <v>620</v>
      </c>
      <c r="F864" s="288">
        <f>84</f>
        <v>84</v>
      </c>
      <c r="G864" s="201"/>
      <c r="H864" s="67"/>
    </row>
    <row r="865" spans="1:9" ht="18.75" customHeight="1" x14ac:dyDescent="0.2">
      <c r="A865" s="34" t="s">
        <v>345</v>
      </c>
      <c r="B865" s="301" t="s">
        <v>542</v>
      </c>
      <c r="C865" s="301" t="s">
        <v>346</v>
      </c>
      <c r="D865" s="302" t="s">
        <v>13</v>
      </c>
      <c r="E865" s="45" t="s">
        <v>13</v>
      </c>
      <c r="F865" s="334">
        <f>F866+F907+F956+F971+F997+F966</f>
        <v>6290402.2999999998</v>
      </c>
      <c r="G865" s="65"/>
      <c r="H865" s="13"/>
    </row>
    <row r="866" spans="1:9" ht="15.75" customHeight="1" x14ac:dyDescent="0.2">
      <c r="A866" s="20" t="s">
        <v>347</v>
      </c>
      <c r="B866" s="45" t="s">
        <v>542</v>
      </c>
      <c r="C866" s="45" t="s">
        <v>348</v>
      </c>
      <c r="D866" s="302" t="s">
        <v>13</v>
      </c>
      <c r="E866" s="45" t="s">
        <v>13</v>
      </c>
      <c r="F866" s="288">
        <f>F867</f>
        <v>3201288</v>
      </c>
      <c r="G866" s="12"/>
      <c r="H866" s="13"/>
    </row>
    <row r="867" spans="1:9" ht="31.5" customHeight="1" x14ac:dyDescent="0.2">
      <c r="A867" s="20" t="s">
        <v>349</v>
      </c>
      <c r="B867" s="45" t="s">
        <v>542</v>
      </c>
      <c r="C867" s="45" t="s">
        <v>348</v>
      </c>
      <c r="D867" s="302" t="s">
        <v>350</v>
      </c>
      <c r="E867" s="45" t="s">
        <v>13</v>
      </c>
      <c r="F867" s="288">
        <f>F868+F880+F888+F893+F902</f>
        <v>3201288</v>
      </c>
      <c r="G867" s="12"/>
      <c r="H867" s="13"/>
    </row>
    <row r="868" spans="1:9" ht="31.5" customHeight="1" x14ac:dyDescent="0.2">
      <c r="A868" s="20" t="s">
        <v>552</v>
      </c>
      <c r="B868" s="45" t="s">
        <v>542</v>
      </c>
      <c r="C868" s="45" t="s">
        <v>348</v>
      </c>
      <c r="D868" s="302" t="s">
        <v>553</v>
      </c>
      <c r="E868" s="45" t="s">
        <v>13</v>
      </c>
      <c r="F868" s="288">
        <f>F869+F873</f>
        <v>2989463</v>
      </c>
      <c r="G868" s="12"/>
      <c r="H868" s="13"/>
    </row>
    <row r="869" spans="1:9" ht="31.5" customHeight="1" x14ac:dyDescent="0.2">
      <c r="A869" s="20" t="s">
        <v>554</v>
      </c>
      <c r="B869" s="45" t="s">
        <v>542</v>
      </c>
      <c r="C869" s="45" t="s">
        <v>348</v>
      </c>
      <c r="D869" s="302" t="s">
        <v>555</v>
      </c>
      <c r="E869" s="45" t="s">
        <v>13</v>
      </c>
      <c r="F869" s="288">
        <f>F870</f>
        <v>2332500</v>
      </c>
      <c r="G869" s="12"/>
      <c r="H869" s="13"/>
    </row>
    <row r="870" spans="1:9" ht="84" customHeight="1" x14ac:dyDescent="0.2">
      <c r="A870" s="20" t="s">
        <v>556</v>
      </c>
      <c r="B870" s="45" t="s">
        <v>542</v>
      </c>
      <c r="C870" s="45" t="s">
        <v>348</v>
      </c>
      <c r="D870" s="302" t="s">
        <v>557</v>
      </c>
      <c r="E870" s="45"/>
      <c r="F870" s="298">
        <f>F871+F872</f>
        <v>2332500</v>
      </c>
      <c r="G870" s="23"/>
      <c r="H870" s="13"/>
    </row>
    <row r="871" spans="1:9" x14ac:dyDescent="0.2">
      <c r="A871" s="20" t="s">
        <v>998</v>
      </c>
      <c r="B871" s="45" t="s">
        <v>542</v>
      </c>
      <c r="C871" s="45" t="s">
        <v>348</v>
      </c>
      <c r="D871" s="302" t="s">
        <v>557</v>
      </c>
      <c r="E871" s="45">
        <v>610</v>
      </c>
      <c r="F871" s="208">
        <v>1050305</v>
      </c>
      <c r="G871" s="164"/>
      <c r="H871" s="13"/>
    </row>
    <row r="872" spans="1:9" x14ac:dyDescent="0.2">
      <c r="A872" s="20" t="s">
        <v>997</v>
      </c>
      <c r="B872" s="45" t="s">
        <v>542</v>
      </c>
      <c r="C872" s="45" t="s">
        <v>348</v>
      </c>
      <c r="D872" s="302" t="s">
        <v>557</v>
      </c>
      <c r="E872" s="45">
        <v>620</v>
      </c>
      <c r="F872" s="208">
        <v>1282195</v>
      </c>
      <c r="G872" s="164"/>
      <c r="H872" s="13"/>
    </row>
    <row r="873" spans="1:9" ht="63" customHeight="1" x14ac:dyDescent="0.2">
      <c r="A873" s="20" t="s">
        <v>558</v>
      </c>
      <c r="B873" s="45" t="s">
        <v>542</v>
      </c>
      <c r="C873" s="45" t="s">
        <v>348</v>
      </c>
      <c r="D873" s="302" t="s">
        <v>559</v>
      </c>
      <c r="E873" s="45" t="s">
        <v>13</v>
      </c>
      <c r="F873" s="288">
        <f>F874+F877</f>
        <v>656963</v>
      </c>
      <c r="G873" s="12"/>
      <c r="H873" s="13"/>
    </row>
    <row r="874" spans="1:9" ht="31.5" customHeight="1" x14ac:dyDescent="0.2">
      <c r="A874" s="20" t="s">
        <v>40</v>
      </c>
      <c r="B874" s="45" t="s">
        <v>542</v>
      </c>
      <c r="C874" s="45" t="s">
        <v>348</v>
      </c>
      <c r="D874" s="302" t="s">
        <v>560</v>
      </c>
      <c r="E874" s="45"/>
      <c r="F874" s="288">
        <f>F875+F876</f>
        <v>590463.4</v>
      </c>
      <c r="G874" s="12"/>
      <c r="H874" s="13"/>
    </row>
    <row r="875" spans="1:9" x14ac:dyDescent="0.2">
      <c r="A875" s="48" t="s">
        <v>996</v>
      </c>
      <c r="B875" s="45" t="s">
        <v>542</v>
      </c>
      <c r="C875" s="45" t="s">
        <v>348</v>
      </c>
      <c r="D875" s="302" t="s">
        <v>560</v>
      </c>
      <c r="E875" s="45">
        <v>610</v>
      </c>
      <c r="F875" s="288">
        <f>212967.9+11900+3600+150+3516+2469.3</f>
        <v>234603.19999999998</v>
      </c>
      <c r="G875" s="68"/>
      <c r="H875" s="128"/>
      <c r="I875" s="72"/>
    </row>
    <row r="876" spans="1:9" x14ac:dyDescent="0.2">
      <c r="A876" s="48" t="s">
        <v>997</v>
      </c>
      <c r="B876" s="45" t="s">
        <v>542</v>
      </c>
      <c r="C876" s="45" t="s">
        <v>348</v>
      </c>
      <c r="D876" s="302" t="s">
        <v>560</v>
      </c>
      <c r="E876" s="45">
        <v>620</v>
      </c>
      <c r="F876" s="288">
        <f>320419.9-4069.9+9200+12100+9850+4395+3965.2</f>
        <v>355860.2</v>
      </c>
      <c r="G876" s="59"/>
      <c r="H876" s="128"/>
      <c r="I876" s="72"/>
    </row>
    <row r="877" spans="1:9" ht="110.25" customHeight="1" x14ac:dyDescent="0.2">
      <c r="A877" s="29" t="s">
        <v>561</v>
      </c>
      <c r="B877" s="45" t="s">
        <v>542</v>
      </c>
      <c r="C877" s="45" t="s">
        <v>348</v>
      </c>
      <c r="D877" s="302" t="s">
        <v>562</v>
      </c>
      <c r="E877" s="45" t="s">
        <v>13</v>
      </c>
      <c r="F877" s="298">
        <f>F878+F879</f>
        <v>66499.600000000006</v>
      </c>
      <c r="G877" s="12"/>
      <c r="H877" s="13"/>
    </row>
    <row r="878" spans="1:9" x14ac:dyDescent="0.2">
      <c r="A878" s="48" t="s">
        <v>998</v>
      </c>
      <c r="B878" s="45" t="s">
        <v>542</v>
      </c>
      <c r="C878" s="45" t="s">
        <v>348</v>
      </c>
      <c r="D878" s="302" t="s">
        <v>562</v>
      </c>
      <c r="E878" s="45">
        <v>610</v>
      </c>
      <c r="F878" s="298">
        <v>25733.3</v>
      </c>
      <c r="G878" s="72"/>
      <c r="H878" s="13"/>
    </row>
    <row r="879" spans="1:9" ht="18.75" x14ac:dyDescent="0.2">
      <c r="A879" s="48" t="s">
        <v>997</v>
      </c>
      <c r="B879" s="45" t="s">
        <v>542</v>
      </c>
      <c r="C879" s="45" t="s">
        <v>348</v>
      </c>
      <c r="D879" s="302" t="s">
        <v>562</v>
      </c>
      <c r="E879" s="45">
        <v>620</v>
      </c>
      <c r="F879" s="298">
        <v>40766.300000000003</v>
      </c>
      <c r="G879" s="72"/>
      <c r="H879" s="71"/>
    </row>
    <row r="880" spans="1:9" ht="15.75" customHeight="1" x14ac:dyDescent="0.2">
      <c r="A880" s="20" t="s">
        <v>351</v>
      </c>
      <c r="B880" s="45" t="s">
        <v>542</v>
      </c>
      <c r="C880" s="45" t="s">
        <v>348</v>
      </c>
      <c r="D880" s="302" t="s">
        <v>352</v>
      </c>
      <c r="E880" s="45" t="s">
        <v>13</v>
      </c>
      <c r="F880" s="288">
        <f>F881+F885</f>
        <v>21350</v>
      </c>
      <c r="G880" s="12"/>
      <c r="H880" s="13"/>
    </row>
    <row r="881" spans="1:9" ht="31.5" customHeight="1" x14ac:dyDescent="0.2">
      <c r="A881" s="20" t="s">
        <v>353</v>
      </c>
      <c r="B881" s="45" t="s">
        <v>542</v>
      </c>
      <c r="C881" s="45" t="s">
        <v>348</v>
      </c>
      <c r="D881" s="302" t="s">
        <v>354</v>
      </c>
      <c r="E881" s="45" t="s">
        <v>13</v>
      </c>
      <c r="F881" s="288">
        <f>SUM(F882)</f>
        <v>19850</v>
      </c>
      <c r="G881" s="12"/>
      <c r="H881" s="13"/>
    </row>
    <row r="882" spans="1:9" ht="31.5" customHeight="1" x14ac:dyDescent="0.2">
      <c r="A882" s="20" t="s">
        <v>40</v>
      </c>
      <c r="B882" s="45" t="s">
        <v>542</v>
      </c>
      <c r="C882" s="45" t="s">
        <v>348</v>
      </c>
      <c r="D882" s="302" t="s">
        <v>563</v>
      </c>
      <c r="E882" s="45"/>
      <c r="F882" s="288">
        <f>F883+F884</f>
        <v>19850</v>
      </c>
      <c r="G882" s="12"/>
      <c r="H882" s="13"/>
    </row>
    <row r="883" spans="1:9" ht="15.75" customHeight="1" x14ac:dyDescent="0.2">
      <c r="A883" s="20" t="s">
        <v>998</v>
      </c>
      <c r="B883" s="45" t="s">
        <v>542</v>
      </c>
      <c r="C883" s="45" t="s">
        <v>348</v>
      </c>
      <c r="D883" s="302" t="s">
        <v>563</v>
      </c>
      <c r="E883" s="45">
        <v>610</v>
      </c>
      <c r="F883" s="288">
        <f>13150</f>
        <v>13150</v>
      </c>
      <c r="G883" s="148"/>
      <c r="H883" s="151"/>
    </row>
    <row r="884" spans="1:9" ht="15.75" customHeight="1" x14ac:dyDescent="0.2">
      <c r="A884" s="20" t="s">
        <v>997</v>
      </c>
      <c r="B884" s="45" t="s">
        <v>542</v>
      </c>
      <c r="C884" s="45" t="s">
        <v>348</v>
      </c>
      <c r="D884" s="302" t="s">
        <v>563</v>
      </c>
      <c r="E884" s="45">
        <v>620</v>
      </c>
      <c r="F884" s="288">
        <f>6700</f>
        <v>6700</v>
      </c>
      <c r="G884" s="143"/>
      <c r="H884" s="19"/>
    </row>
    <row r="885" spans="1:9" ht="31.5" customHeight="1" x14ac:dyDescent="0.2">
      <c r="A885" s="20" t="s">
        <v>564</v>
      </c>
      <c r="B885" s="45" t="s">
        <v>542</v>
      </c>
      <c r="C885" s="45" t="s">
        <v>348</v>
      </c>
      <c r="D885" s="302" t="s">
        <v>565</v>
      </c>
      <c r="E885" s="45" t="s">
        <v>13</v>
      </c>
      <c r="F885" s="288">
        <f>SUM(F886)</f>
        <v>1500</v>
      </c>
      <c r="G885" s="12"/>
      <c r="H885" s="13"/>
    </row>
    <row r="886" spans="1:9" ht="31.5" customHeight="1" x14ac:dyDescent="0.2">
      <c r="A886" s="20" t="s">
        <v>40</v>
      </c>
      <c r="B886" s="45" t="s">
        <v>542</v>
      </c>
      <c r="C886" s="45" t="s">
        <v>348</v>
      </c>
      <c r="D886" s="302" t="s">
        <v>566</v>
      </c>
      <c r="E886" s="45"/>
      <c r="F886" s="288">
        <f>F887</f>
        <v>1500</v>
      </c>
      <c r="G886" s="12"/>
      <c r="H886" s="13"/>
    </row>
    <row r="887" spans="1:9" ht="15.75" customHeight="1" x14ac:dyDescent="0.2">
      <c r="A887" s="20" t="s">
        <v>998</v>
      </c>
      <c r="B887" s="45" t="s">
        <v>542</v>
      </c>
      <c r="C887" s="45" t="s">
        <v>348</v>
      </c>
      <c r="D887" s="302" t="s">
        <v>566</v>
      </c>
      <c r="E887" s="45">
        <v>610</v>
      </c>
      <c r="F887" s="288">
        <f>1500</f>
        <v>1500</v>
      </c>
      <c r="G887" s="197"/>
      <c r="H887" s="68"/>
    </row>
    <row r="888" spans="1:9" ht="15.75" customHeight="1" x14ac:dyDescent="0.2">
      <c r="A888" s="20" t="s">
        <v>567</v>
      </c>
      <c r="B888" s="45" t="s">
        <v>542</v>
      </c>
      <c r="C888" s="45" t="s">
        <v>348</v>
      </c>
      <c r="D888" s="302" t="s">
        <v>568</v>
      </c>
      <c r="E888" s="45" t="s">
        <v>13</v>
      </c>
      <c r="F888" s="288">
        <f>F889</f>
        <v>1406.3</v>
      </c>
      <c r="G888" s="12"/>
      <c r="H888" s="13"/>
    </row>
    <row r="889" spans="1:9" ht="63" customHeight="1" x14ac:dyDescent="0.2">
      <c r="A889" s="20" t="s">
        <v>569</v>
      </c>
      <c r="B889" s="45" t="s">
        <v>542</v>
      </c>
      <c r="C889" s="45" t="s">
        <v>348</v>
      </c>
      <c r="D889" s="302" t="s">
        <v>570</v>
      </c>
      <c r="E889" s="45"/>
      <c r="F889" s="288">
        <f>F890</f>
        <v>1406.3</v>
      </c>
      <c r="G889" s="12"/>
      <c r="H889" s="13"/>
    </row>
    <row r="890" spans="1:9" ht="54.75" customHeight="1" x14ac:dyDescent="0.2">
      <c r="A890" s="20" t="s">
        <v>907</v>
      </c>
      <c r="B890" s="45" t="s">
        <v>542</v>
      </c>
      <c r="C890" s="45" t="s">
        <v>348</v>
      </c>
      <c r="D890" s="302" t="s">
        <v>571</v>
      </c>
      <c r="E890" s="45" t="s">
        <v>13</v>
      </c>
      <c r="F890" s="298">
        <f>F892+F891</f>
        <v>1406.3</v>
      </c>
      <c r="G890" s="12"/>
      <c r="H890" s="13"/>
      <c r="I890" s="69"/>
    </row>
    <row r="891" spans="1:9" ht="37.5" customHeight="1" x14ac:dyDescent="0.2">
      <c r="A891" s="48" t="s">
        <v>998</v>
      </c>
      <c r="B891" s="45" t="s">
        <v>542</v>
      </c>
      <c r="C891" s="45" t="s">
        <v>348</v>
      </c>
      <c r="D891" s="302" t="s">
        <v>571</v>
      </c>
      <c r="E891" s="45">
        <v>610</v>
      </c>
      <c r="F891" s="298">
        <v>1120.3</v>
      </c>
      <c r="G891" s="265"/>
      <c r="H891" s="13"/>
      <c r="I891" s="69"/>
    </row>
    <row r="892" spans="1:9" ht="33.75" customHeight="1" x14ac:dyDescent="0.2">
      <c r="A892" s="48" t="s">
        <v>997</v>
      </c>
      <c r="B892" s="45" t="s">
        <v>542</v>
      </c>
      <c r="C892" s="45" t="s">
        <v>348</v>
      </c>
      <c r="D892" s="302" t="s">
        <v>571</v>
      </c>
      <c r="E892" s="45">
        <v>620</v>
      </c>
      <c r="F892" s="298">
        <v>286</v>
      </c>
      <c r="G892" s="113"/>
      <c r="H892" s="13"/>
    </row>
    <row r="893" spans="1:9" ht="31.5" customHeight="1" x14ac:dyDescent="0.2">
      <c r="A893" s="20" t="s">
        <v>780</v>
      </c>
      <c r="B893" s="45" t="s">
        <v>542</v>
      </c>
      <c r="C893" s="45" t="s">
        <v>348</v>
      </c>
      <c r="D893" s="302" t="s">
        <v>355</v>
      </c>
      <c r="E893" s="45" t="s">
        <v>13</v>
      </c>
      <c r="F893" s="288">
        <f>F894+F898</f>
        <v>58000</v>
      </c>
      <c r="G893" s="12"/>
      <c r="H893" s="13"/>
    </row>
    <row r="894" spans="1:9" ht="15.75" customHeight="1" x14ac:dyDescent="0.2">
      <c r="A894" s="20" t="s">
        <v>357</v>
      </c>
      <c r="B894" s="45" t="s">
        <v>542</v>
      </c>
      <c r="C894" s="45" t="s">
        <v>348</v>
      </c>
      <c r="D894" s="302" t="s">
        <v>358</v>
      </c>
      <c r="E894" s="45" t="s">
        <v>13</v>
      </c>
      <c r="F894" s="288">
        <f>F895</f>
        <v>16850</v>
      </c>
      <c r="G894" s="12"/>
      <c r="H894" s="13"/>
    </row>
    <row r="895" spans="1:9" ht="31.5" customHeight="1" x14ac:dyDescent="0.2">
      <c r="A895" s="20" t="s">
        <v>40</v>
      </c>
      <c r="B895" s="45" t="s">
        <v>542</v>
      </c>
      <c r="C895" s="45" t="s">
        <v>348</v>
      </c>
      <c r="D895" s="302" t="s">
        <v>572</v>
      </c>
      <c r="E895" s="45"/>
      <c r="F895" s="288">
        <f>F896+F897</f>
        <v>16850</v>
      </c>
      <c r="G895" s="12"/>
      <c r="H895" s="13"/>
    </row>
    <row r="896" spans="1:9" ht="15.75" customHeight="1" x14ac:dyDescent="0.2">
      <c r="A896" s="20" t="s">
        <v>998</v>
      </c>
      <c r="B896" s="45" t="s">
        <v>542</v>
      </c>
      <c r="C896" s="45" t="s">
        <v>348</v>
      </c>
      <c r="D896" s="302" t="s">
        <v>572</v>
      </c>
      <c r="E896" s="45">
        <v>610</v>
      </c>
      <c r="F896" s="288">
        <f>11350</f>
        <v>11350</v>
      </c>
      <c r="G896" s="137"/>
      <c r="H896" s="144"/>
      <c r="I896" s="16"/>
    </row>
    <row r="897" spans="1:9" ht="15.75" customHeight="1" x14ac:dyDescent="0.2">
      <c r="A897" s="20" t="s">
        <v>999</v>
      </c>
      <c r="B897" s="45" t="s">
        <v>542</v>
      </c>
      <c r="C897" s="45" t="s">
        <v>348</v>
      </c>
      <c r="D897" s="302" t="s">
        <v>572</v>
      </c>
      <c r="E897" s="45">
        <v>620</v>
      </c>
      <c r="F897" s="288">
        <f>5500</f>
        <v>5500</v>
      </c>
      <c r="G897" s="137"/>
      <c r="H897" s="144"/>
      <c r="I897" s="16"/>
    </row>
    <row r="898" spans="1:9" ht="15.75" customHeight="1" x14ac:dyDescent="0.2">
      <c r="A898" s="20" t="s">
        <v>740</v>
      </c>
      <c r="B898" s="45" t="s">
        <v>542</v>
      </c>
      <c r="C898" s="45" t="s">
        <v>348</v>
      </c>
      <c r="D898" s="302" t="s">
        <v>741</v>
      </c>
      <c r="E898" s="45"/>
      <c r="F898" s="288">
        <f>F899</f>
        <v>41150</v>
      </c>
      <c r="G898" s="137"/>
      <c r="H898" s="144"/>
      <c r="I898" s="16"/>
    </row>
    <row r="899" spans="1:9" ht="15.75" customHeight="1" x14ac:dyDescent="0.2">
      <c r="A899" s="20" t="s">
        <v>40</v>
      </c>
      <c r="B899" s="45" t="s">
        <v>542</v>
      </c>
      <c r="C899" s="45" t="s">
        <v>348</v>
      </c>
      <c r="D899" s="302" t="s">
        <v>874</v>
      </c>
      <c r="E899" s="45"/>
      <c r="F899" s="288">
        <f>F900+F901</f>
        <v>41150</v>
      </c>
      <c r="G899" s="137"/>
      <c r="H899" s="144"/>
      <c r="I899" s="16"/>
    </row>
    <row r="900" spans="1:9" ht="15.75" customHeight="1" x14ac:dyDescent="0.2">
      <c r="A900" s="20" t="s">
        <v>998</v>
      </c>
      <c r="B900" s="45" t="s">
        <v>542</v>
      </c>
      <c r="C900" s="45" t="s">
        <v>348</v>
      </c>
      <c r="D900" s="302" t="s">
        <v>874</v>
      </c>
      <c r="E900" s="45">
        <v>610</v>
      </c>
      <c r="F900" s="288">
        <f>21350</f>
        <v>21350</v>
      </c>
      <c r="G900" s="137"/>
      <c r="H900" s="144"/>
      <c r="I900" s="16"/>
    </row>
    <row r="901" spans="1:9" ht="15.75" customHeight="1" x14ac:dyDescent="0.2">
      <c r="A901" s="20" t="s">
        <v>997</v>
      </c>
      <c r="B901" s="45" t="s">
        <v>542</v>
      </c>
      <c r="C901" s="45" t="s">
        <v>348</v>
      </c>
      <c r="D901" s="302" t="s">
        <v>874</v>
      </c>
      <c r="E901" s="45">
        <v>620</v>
      </c>
      <c r="F901" s="288">
        <f>19800</f>
        <v>19800</v>
      </c>
      <c r="G901" s="137"/>
      <c r="H901" s="144"/>
      <c r="I901" s="16"/>
    </row>
    <row r="902" spans="1:9" ht="15.75" customHeight="1" x14ac:dyDescent="0.2">
      <c r="A902" s="20" t="s">
        <v>573</v>
      </c>
      <c r="B902" s="45" t="s">
        <v>542</v>
      </c>
      <c r="C902" s="45" t="s">
        <v>348</v>
      </c>
      <c r="D902" s="302" t="s">
        <v>574</v>
      </c>
      <c r="E902" s="45" t="s">
        <v>13</v>
      </c>
      <c r="F902" s="288">
        <f>F903</f>
        <v>131068.7</v>
      </c>
      <c r="G902" s="12"/>
      <c r="H902" s="13"/>
    </row>
    <row r="903" spans="1:9" ht="31.5" customHeight="1" x14ac:dyDescent="0.2">
      <c r="A903" s="20" t="s">
        <v>575</v>
      </c>
      <c r="B903" s="45" t="s">
        <v>542</v>
      </c>
      <c r="C903" s="45" t="s">
        <v>348</v>
      </c>
      <c r="D903" s="302" t="s">
        <v>576</v>
      </c>
      <c r="E903" s="45" t="s">
        <v>13</v>
      </c>
      <c r="F903" s="288">
        <f>SUM(F904)</f>
        <v>131068.7</v>
      </c>
      <c r="G903" s="12"/>
      <c r="H903" s="13"/>
    </row>
    <row r="904" spans="1:9" ht="31.5" customHeight="1" x14ac:dyDescent="0.2">
      <c r="A904" s="20" t="s">
        <v>40</v>
      </c>
      <c r="B904" s="45" t="s">
        <v>542</v>
      </c>
      <c r="C904" s="45" t="s">
        <v>348</v>
      </c>
      <c r="D904" s="302" t="s">
        <v>577</v>
      </c>
      <c r="E904" s="45"/>
      <c r="F904" s="288">
        <f>F905+F906</f>
        <v>131068.7</v>
      </c>
      <c r="G904" s="12"/>
      <c r="H904" s="13"/>
    </row>
    <row r="905" spans="1:9" ht="39" customHeight="1" x14ac:dyDescent="0.2">
      <c r="A905" s="48" t="s">
        <v>998</v>
      </c>
      <c r="B905" s="45" t="s">
        <v>542</v>
      </c>
      <c r="C905" s="45" t="s">
        <v>348</v>
      </c>
      <c r="D905" s="302" t="s">
        <v>577</v>
      </c>
      <c r="E905" s="45">
        <v>610</v>
      </c>
      <c r="F905" s="288">
        <f>41604+1550+9676.2</f>
        <v>52830.2</v>
      </c>
      <c r="G905" s="72"/>
      <c r="H905" s="13"/>
    </row>
    <row r="906" spans="1:9" ht="35.25" customHeight="1" x14ac:dyDescent="0.2">
      <c r="A906" s="48" t="s">
        <v>997</v>
      </c>
      <c r="B906" s="45" t="s">
        <v>542</v>
      </c>
      <c r="C906" s="45" t="s">
        <v>348</v>
      </c>
      <c r="D906" s="302" t="s">
        <v>577</v>
      </c>
      <c r="E906" s="45">
        <v>620</v>
      </c>
      <c r="F906" s="288">
        <f>54538.7+3376+20323.8</f>
        <v>78238.5</v>
      </c>
      <c r="G906" s="72"/>
      <c r="H906" s="13"/>
    </row>
    <row r="907" spans="1:9" ht="15.75" customHeight="1" x14ac:dyDescent="0.2">
      <c r="A907" s="20" t="s">
        <v>360</v>
      </c>
      <c r="B907" s="45" t="s">
        <v>542</v>
      </c>
      <c r="C907" s="45" t="s">
        <v>361</v>
      </c>
      <c r="D907" s="302" t="s">
        <v>13</v>
      </c>
      <c r="E907" s="45" t="s">
        <v>13</v>
      </c>
      <c r="F907" s="288">
        <f>F908+F952</f>
        <v>2635397</v>
      </c>
      <c r="G907" s="12"/>
      <c r="H907" s="13"/>
    </row>
    <row r="908" spans="1:9" ht="31.5" customHeight="1" x14ac:dyDescent="0.2">
      <c r="A908" s="20" t="s">
        <v>349</v>
      </c>
      <c r="B908" s="45" t="s">
        <v>542</v>
      </c>
      <c r="C908" s="45" t="s">
        <v>361</v>
      </c>
      <c r="D908" s="302" t="s">
        <v>350</v>
      </c>
      <c r="E908" s="45" t="s">
        <v>13</v>
      </c>
      <c r="F908" s="288">
        <f>F909+F931+F939+F944+F948</f>
        <v>2635205.2000000002</v>
      </c>
      <c r="G908" s="12"/>
      <c r="H908" s="13"/>
    </row>
    <row r="909" spans="1:9" ht="31.5" customHeight="1" x14ac:dyDescent="0.2">
      <c r="A909" s="20" t="s">
        <v>578</v>
      </c>
      <c r="B909" s="45" t="s">
        <v>542</v>
      </c>
      <c r="C909" s="45" t="s">
        <v>361</v>
      </c>
      <c r="D909" s="302" t="s">
        <v>579</v>
      </c>
      <c r="E909" s="45" t="s">
        <v>13</v>
      </c>
      <c r="F909" s="288">
        <f>F910+F928</f>
        <v>2555141.5</v>
      </c>
      <c r="G909" s="12"/>
      <c r="H909" s="13"/>
    </row>
    <row r="910" spans="1:9" ht="15.75" customHeight="1" x14ac:dyDescent="0.2">
      <c r="A910" s="20" t="s">
        <v>580</v>
      </c>
      <c r="B910" s="45" t="s">
        <v>542</v>
      </c>
      <c r="C910" s="45" t="s">
        <v>361</v>
      </c>
      <c r="D910" s="302" t="s">
        <v>581</v>
      </c>
      <c r="E910" s="45" t="s">
        <v>13</v>
      </c>
      <c r="F910" s="288">
        <f>F911+F917+F922+F925</f>
        <v>2535940.2999999998</v>
      </c>
      <c r="G910" s="12"/>
      <c r="H910" s="13"/>
    </row>
    <row r="911" spans="1:9" ht="31.5" customHeight="1" x14ac:dyDescent="0.2">
      <c r="A911" s="20" t="s">
        <v>40</v>
      </c>
      <c r="B911" s="45" t="s">
        <v>542</v>
      </c>
      <c r="C911" s="45" t="s">
        <v>361</v>
      </c>
      <c r="D911" s="302" t="s">
        <v>582</v>
      </c>
      <c r="E911" s="45"/>
      <c r="F911" s="288">
        <f>SUM(F912:F916)</f>
        <v>248719.2</v>
      </c>
      <c r="G911" s="12"/>
      <c r="H911" s="13"/>
    </row>
    <row r="912" spans="1:9" ht="15.75" customHeight="1" x14ac:dyDescent="0.2">
      <c r="A912" s="20" t="s">
        <v>42</v>
      </c>
      <c r="B912" s="45" t="s">
        <v>542</v>
      </c>
      <c r="C912" s="45" t="s">
        <v>361</v>
      </c>
      <c r="D912" s="302" t="s">
        <v>582</v>
      </c>
      <c r="E912" s="45">
        <v>110</v>
      </c>
      <c r="F912" s="288">
        <f>232.2+250</f>
        <v>482.2</v>
      </c>
      <c r="G912" s="260"/>
      <c r="H912" s="13"/>
    </row>
    <row r="913" spans="1:9" ht="39" customHeight="1" x14ac:dyDescent="0.2">
      <c r="A913" s="14" t="s">
        <v>43</v>
      </c>
      <c r="B913" s="45" t="s">
        <v>542</v>
      </c>
      <c r="C913" s="45" t="s">
        <v>361</v>
      </c>
      <c r="D913" s="302" t="s">
        <v>582</v>
      </c>
      <c r="E913" s="261">
        <v>240</v>
      </c>
      <c r="F913" s="288">
        <f>1164.2</f>
        <v>1164.2</v>
      </c>
      <c r="G913" s="60"/>
      <c r="H913" s="13"/>
    </row>
    <row r="914" spans="1:9" x14ac:dyDescent="0.2">
      <c r="A914" s="48" t="s">
        <v>998</v>
      </c>
      <c r="B914" s="45" t="s">
        <v>542</v>
      </c>
      <c r="C914" s="45" t="s">
        <v>361</v>
      </c>
      <c r="D914" s="302" t="s">
        <v>582</v>
      </c>
      <c r="E914" s="261">
        <v>610</v>
      </c>
      <c r="F914" s="288">
        <f>65528.4-333.3+3000+4100+1758+509.3</f>
        <v>74562.400000000009</v>
      </c>
      <c r="G914" s="68"/>
      <c r="H914" s="74"/>
      <c r="I914" s="75"/>
    </row>
    <row r="915" spans="1:9" x14ac:dyDescent="0.2">
      <c r="A915" s="48" t="s">
        <v>997</v>
      </c>
      <c r="B915" s="45" t="s">
        <v>542</v>
      </c>
      <c r="C915" s="45" t="s">
        <v>361</v>
      </c>
      <c r="D915" s="302" t="s">
        <v>582</v>
      </c>
      <c r="E915" s="261">
        <v>620</v>
      </c>
      <c r="F915" s="288">
        <f>145861.5-3330.1-394+9900+5100+10000+4891.5+452.5</f>
        <v>172481.4</v>
      </c>
      <c r="G915" s="68"/>
      <c r="H915" s="74"/>
    </row>
    <row r="916" spans="1:9" ht="15.75" customHeight="1" x14ac:dyDescent="0.2">
      <c r="A916" s="20" t="s">
        <v>44</v>
      </c>
      <c r="B916" s="45" t="s">
        <v>542</v>
      </c>
      <c r="C916" s="45" t="s">
        <v>361</v>
      </c>
      <c r="D916" s="302" t="s">
        <v>582</v>
      </c>
      <c r="E916" s="261">
        <v>850</v>
      </c>
      <c r="F916" s="288">
        <f>29</f>
        <v>29</v>
      </c>
      <c r="G916" s="86"/>
      <c r="H916" s="13"/>
    </row>
    <row r="917" spans="1:9" ht="110.25" customHeight="1" x14ac:dyDescent="0.2">
      <c r="A917" s="20" t="s">
        <v>583</v>
      </c>
      <c r="B917" s="45" t="s">
        <v>542</v>
      </c>
      <c r="C917" s="45" t="s">
        <v>361</v>
      </c>
      <c r="D917" s="302" t="s">
        <v>584</v>
      </c>
      <c r="E917" s="45" t="s">
        <v>13</v>
      </c>
      <c r="F917" s="298">
        <f>SUM(F918:F921)</f>
        <v>2214493.7999999998</v>
      </c>
      <c r="G917" s="23"/>
      <c r="H917" s="13"/>
    </row>
    <row r="918" spans="1:9" ht="15.75" customHeight="1" x14ac:dyDescent="0.2">
      <c r="A918" s="20" t="s">
        <v>42</v>
      </c>
      <c r="B918" s="45" t="s">
        <v>542</v>
      </c>
      <c r="C918" s="45" t="s">
        <v>361</v>
      </c>
      <c r="D918" s="302" t="s">
        <v>584</v>
      </c>
      <c r="E918" s="45">
        <v>110</v>
      </c>
      <c r="F918" s="298">
        <v>20186.3</v>
      </c>
      <c r="G918" s="76"/>
      <c r="H918" s="13"/>
    </row>
    <row r="919" spans="1:9" ht="33.75" customHeight="1" x14ac:dyDescent="0.2">
      <c r="A919" s="14" t="s">
        <v>43</v>
      </c>
      <c r="B919" s="45" t="s">
        <v>542</v>
      </c>
      <c r="C919" s="45" t="s">
        <v>361</v>
      </c>
      <c r="D919" s="302" t="s">
        <v>584</v>
      </c>
      <c r="E919" s="45">
        <v>240</v>
      </c>
      <c r="F919" s="298">
        <v>725</v>
      </c>
      <c r="G919" s="142"/>
      <c r="H919" s="13"/>
    </row>
    <row r="920" spans="1:9" x14ac:dyDescent="0.2">
      <c r="A920" s="48" t="s">
        <v>998</v>
      </c>
      <c r="B920" s="45" t="s">
        <v>542</v>
      </c>
      <c r="C920" s="45" t="s">
        <v>361</v>
      </c>
      <c r="D920" s="302" t="s">
        <v>584</v>
      </c>
      <c r="E920" s="45">
        <v>610</v>
      </c>
      <c r="F920" s="298">
        <f>962262+21215.1</f>
        <v>983477.1</v>
      </c>
      <c r="G920" s="142"/>
      <c r="H920" s="13"/>
    </row>
    <row r="921" spans="1:9" x14ac:dyDescent="0.2">
      <c r="A921" s="48" t="s">
        <v>997</v>
      </c>
      <c r="B921" s="45" t="s">
        <v>542</v>
      </c>
      <c r="C921" s="45" t="s">
        <v>361</v>
      </c>
      <c r="D921" s="302" t="s">
        <v>584</v>
      </c>
      <c r="E921" s="45">
        <v>620</v>
      </c>
      <c r="F921" s="298">
        <f>1165105.4+45000</f>
        <v>1210105.3999999999</v>
      </c>
      <c r="G921" s="202"/>
      <c r="H921" s="77"/>
      <c r="I921" s="78"/>
    </row>
    <row r="922" spans="1:9" ht="47.25" x14ac:dyDescent="0.2">
      <c r="A922" s="48" t="s">
        <v>1036</v>
      </c>
      <c r="B922" s="45" t="s">
        <v>542</v>
      </c>
      <c r="C922" s="45" t="s">
        <v>361</v>
      </c>
      <c r="D922" s="302" t="s">
        <v>1037</v>
      </c>
      <c r="E922" s="45"/>
      <c r="F922" s="298">
        <f>F923+F924</f>
        <v>72000</v>
      </c>
      <c r="G922" s="202"/>
      <c r="H922" s="77"/>
      <c r="I922" s="78"/>
    </row>
    <row r="923" spans="1:9" x14ac:dyDescent="0.2">
      <c r="A923" s="48" t="s">
        <v>998</v>
      </c>
      <c r="B923" s="45" t="s">
        <v>542</v>
      </c>
      <c r="C923" s="45" t="s">
        <v>361</v>
      </c>
      <c r="D923" s="302" t="s">
        <v>1037</v>
      </c>
      <c r="E923" s="45">
        <v>610</v>
      </c>
      <c r="F923" s="298">
        <v>33000</v>
      </c>
      <c r="G923" s="202"/>
      <c r="H923" s="77"/>
      <c r="I923" s="78"/>
    </row>
    <row r="924" spans="1:9" x14ac:dyDescent="0.2">
      <c r="A924" s="48" t="s">
        <v>997</v>
      </c>
      <c r="B924" s="45" t="s">
        <v>542</v>
      </c>
      <c r="C924" s="45" t="s">
        <v>361</v>
      </c>
      <c r="D924" s="302" t="s">
        <v>1037</v>
      </c>
      <c r="E924" s="45">
        <v>620</v>
      </c>
      <c r="F924" s="298">
        <v>39000</v>
      </c>
      <c r="G924" s="202"/>
      <c r="H924" s="77"/>
      <c r="I924" s="78"/>
    </row>
    <row r="925" spans="1:9" ht="47.25" x14ac:dyDescent="0.2">
      <c r="A925" s="48" t="s">
        <v>1038</v>
      </c>
      <c r="B925" s="45" t="s">
        <v>542</v>
      </c>
      <c r="C925" s="45" t="s">
        <v>361</v>
      </c>
      <c r="D925" s="302" t="s">
        <v>1039</v>
      </c>
      <c r="E925" s="45"/>
      <c r="F925" s="298">
        <f>F926+F927</f>
        <v>727.3</v>
      </c>
      <c r="G925" s="202"/>
      <c r="H925" s="77"/>
      <c r="I925" s="78"/>
    </row>
    <row r="926" spans="1:9" x14ac:dyDescent="0.2">
      <c r="A926" s="48" t="s">
        <v>998</v>
      </c>
      <c r="B926" s="45" t="s">
        <v>542</v>
      </c>
      <c r="C926" s="45" t="s">
        <v>361</v>
      </c>
      <c r="D926" s="302" t="s">
        <v>1039</v>
      </c>
      <c r="E926" s="45">
        <v>610</v>
      </c>
      <c r="F926" s="298">
        <v>333.3</v>
      </c>
      <c r="G926" s="202"/>
      <c r="H926" s="77"/>
      <c r="I926" s="78"/>
    </row>
    <row r="927" spans="1:9" x14ac:dyDescent="0.2">
      <c r="A927" s="48" t="s">
        <v>997</v>
      </c>
      <c r="B927" s="45" t="s">
        <v>542</v>
      </c>
      <c r="C927" s="45" t="s">
        <v>361</v>
      </c>
      <c r="D927" s="302" t="s">
        <v>1039</v>
      </c>
      <c r="E927" s="45">
        <v>620</v>
      </c>
      <c r="F927" s="298">
        <v>394</v>
      </c>
      <c r="G927" s="202"/>
      <c r="H927" s="77"/>
      <c r="I927" s="78"/>
    </row>
    <row r="928" spans="1:9" ht="15.75" customHeight="1" x14ac:dyDescent="0.2">
      <c r="A928" s="20" t="s">
        <v>585</v>
      </c>
      <c r="B928" s="45" t="s">
        <v>542</v>
      </c>
      <c r="C928" s="45" t="s">
        <v>361</v>
      </c>
      <c r="D928" s="302" t="s">
        <v>586</v>
      </c>
      <c r="E928" s="45"/>
      <c r="F928" s="288">
        <f>F929</f>
        <v>19201.2</v>
      </c>
      <c r="G928" s="12"/>
      <c r="H928" s="13"/>
    </row>
    <row r="929" spans="1:8" ht="31.5" customHeight="1" x14ac:dyDescent="0.2">
      <c r="A929" s="20" t="s">
        <v>40</v>
      </c>
      <c r="B929" s="45" t="s">
        <v>542</v>
      </c>
      <c r="C929" s="45" t="s">
        <v>361</v>
      </c>
      <c r="D929" s="302" t="s">
        <v>587</v>
      </c>
      <c r="E929" s="45"/>
      <c r="F929" s="288">
        <f>F930</f>
        <v>19201.2</v>
      </c>
      <c r="G929" s="12"/>
      <c r="H929" s="13"/>
    </row>
    <row r="930" spans="1:8" ht="47.25" customHeight="1" x14ac:dyDescent="0.2">
      <c r="A930" s="48" t="s">
        <v>998</v>
      </c>
      <c r="B930" s="45" t="s">
        <v>542</v>
      </c>
      <c r="C930" s="45" t="s">
        <v>361</v>
      </c>
      <c r="D930" s="302" t="s">
        <v>587</v>
      </c>
      <c r="E930" s="45">
        <v>610</v>
      </c>
      <c r="F930" s="288">
        <f>18554.7+500+146.5</f>
        <v>19201.2</v>
      </c>
      <c r="G930" s="72"/>
      <c r="H930" s="13"/>
    </row>
    <row r="931" spans="1:8" ht="15.75" customHeight="1" x14ac:dyDescent="0.2">
      <c r="A931" s="20" t="s">
        <v>351</v>
      </c>
      <c r="B931" s="45" t="s">
        <v>542</v>
      </c>
      <c r="C931" s="45" t="s">
        <v>361</v>
      </c>
      <c r="D931" s="302" t="s">
        <v>352</v>
      </c>
      <c r="E931" s="45" t="s">
        <v>13</v>
      </c>
      <c r="F931" s="288">
        <f>F932+F936</f>
        <v>24650</v>
      </c>
      <c r="G931" s="12"/>
      <c r="H931" s="13"/>
    </row>
    <row r="932" spans="1:8" ht="31.5" customHeight="1" x14ac:dyDescent="0.2">
      <c r="A932" s="20" t="s">
        <v>353</v>
      </c>
      <c r="B932" s="45" t="s">
        <v>542</v>
      </c>
      <c r="C932" s="45" t="s">
        <v>361</v>
      </c>
      <c r="D932" s="302" t="s">
        <v>354</v>
      </c>
      <c r="E932" s="45" t="s">
        <v>13</v>
      </c>
      <c r="F932" s="288">
        <f>SUM(F933)</f>
        <v>23000</v>
      </c>
      <c r="G932" s="12"/>
      <c r="H932" s="19"/>
    </row>
    <row r="933" spans="1:8" ht="31.5" customHeight="1" x14ac:dyDescent="0.2">
      <c r="A933" s="20" t="s">
        <v>40</v>
      </c>
      <c r="B933" s="45" t="s">
        <v>542</v>
      </c>
      <c r="C933" s="45" t="s">
        <v>361</v>
      </c>
      <c r="D933" s="302" t="s">
        <v>563</v>
      </c>
      <c r="E933" s="45"/>
      <c r="F933" s="288">
        <f>F934+F935</f>
        <v>23000</v>
      </c>
      <c r="G933" s="12"/>
      <c r="H933" s="19"/>
    </row>
    <row r="934" spans="1:8" ht="15.75" customHeight="1" x14ac:dyDescent="0.2">
      <c r="A934" s="20" t="s">
        <v>998</v>
      </c>
      <c r="B934" s="45" t="s">
        <v>542</v>
      </c>
      <c r="C934" s="45" t="s">
        <v>361</v>
      </c>
      <c r="D934" s="302" t="s">
        <v>563</v>
      </c>
      <c r="E934" s="45">
        <v>610</v>
      </c>
      <c r="F934" s="288">
        <f>11500</f>
        <v>11500</v>
      </c>
      <c r="G934" s="149"/>
      <c r="H934" s="124"/>
    </row>
    <row r="935" spans="1:8" ht="15.75" customHeight="1" x14ac:dyDescent="0.2">
      <c r="A935" s="20" t="s">
        <v>997</v>
      </c>
      <c r="B935" s="45" t="s">
        <v>542</v>
      </c>
      <c r="C935" s="45" t="s">
        <v>361</v>
      </c>
      <c r="D935" s="302" t="s">
        <v>563</v>
      </c>
      <c r="E935" s="45">
        <v>620</v>
      </c>
      <c r="F935" s="288">
        <f>11500</f>
        <v>11500</v>
      </c>
      <c r="G935" s="149"/>
      <c r="H935" s="124"/>
    </row>
    <row r="936" spans="1:8" ht="31.5" customHeight="1" x14ac:dyDescent="0.2">
      <c r="A936" s="20" t="s">
        <v>564</v>
      </c>
      <c r="B936" s="45" t="s">
        <v>542</v>
      </c>
      <c r="C936" s="45" t="s">
        <v>361</v>
      </c>
      <c r="D936" s="302" t="s">
        <v>565</v>
      </c>
      <c r="E936" s="45" t="s">
        <v>13</v>
      </c>
      <c r="F936" s="288">
        <f>F937</f>
        <v>1650</v>
      </c>
      <c r="G936" s="12"/>
      <c r="H936" s="19"/>
    </row>
    <row r="937" spans="1:8" ht="31.5" customHeight="1" x14ac:dyDescent="0.2">
      <c r="A937" s="20" t="s">
        <v>40</v>
      </c>
      <c r="B937" s="45" t="s">
        <v>542</v>
      </c>
      <c r="C937" s="45" t="s">
        <v>361</v>
      </c>
      <c r="D937" s="302" t="s">
        <v>566</v>
      </c>
      <c r="E937" s="45"/>
      <c r="F937" s="288">
        <f>F938</f>
        <v>1650</v>
      </c>
      <c r="G937" s="12"/>
      <c r="H937" s="19"/>
    </row>
    <row r="938" spans="1:8" ht="15.75" customHeight="1" x14ac:dyDescent="0.2">
      <c r="A938" s="20" t="s">
        <v>997</v>
      </c>
      <c r="B938" s="45" t="s">
        <v>542</v>
      </c>
      <c r="C938" s="45" t="s">
        <v>361</v>
      </c>
      <c r="D938" s="302" t="s">
        <v>566</v>
      </c>
      <c r="E938" s="45">
        <v>620</v>
      </c>
      <c r="F938" s="288">
        <f>1650</f>
        <v>1650</v>
      </c>
      <c r="G938" s="72"/>
      <c r="H938" s="136"/>
    </row>
    <row r="939" spans="1:8" ht="15.75" customHeight="1" x14ac:dyDescent="0.2">
      <c r="A939" s="20" t="s">
        <v>567</v>
      </c>
      <c r="B939" s="45" t="s">
        <v>542</v>
      </c>
      <c r="C939" s="45" t="s">
        <v>361</v>
      </c>
      <c r="D939" s="302" t="s">
        <v>568</v>
      </c>
      <c r="E939" s="45" t="s">
        <v>13</v>
      </c>
      <c r="F939" s="288">
        <f>F940</f>
        <v>4465.7</v>
      </c>
      <c r="G939" s="12"/>
      <c r="H939" s="13"/>
    </row>
    <row r="940" spans="1:8" ht="53.25" customHeight="1" x14ac:dyDescent="0.2">
      <c r="A940" s="20" t="s">
        <v>569</v>
      </c>
      <c r="B940" s="45" t="s">
        <v>542</v>
      </c>
      <c r="C940" s="45" t="s">
        <v>361</v>
      </c>
      <c r="D940" s="302" t="s">
        <v>570</v>
      </c>
      <c r="E940" s="45"/>
      <c r="F940" s="288">
        <f>F941</f>
        <v>4465.7</v>
      </c>
      <c r="G940" s="12"/>
      <c r="H940" s="13"/>
    </row>
    <row r="941" spans="1:8" ht="51" customHeight="1" x14ac:dyDescent="0.2">
      <c r="A941" s="20" t="s">
        <v>907</v>
      </c>
      <c r="B941" s="45" t="s">
        <v>542</v>
      </c>
      <c r="C941" s="45" t="s">
        <v>361</v>
      </c>
      <c r="D941" s="302" t="s">
        <v>571</v>
      </c>
      <c r="E941" s="45" t="s">
        <v>13</v>
      </c>
      <c r="F941" s="298">
        <f>F942+F943</f>
        <v>4465.7</v>
      </c>
      <c r="G941" s="23"/>
      <c r="H941" s="13"/>
    </row>
    <row r="942" spans="1:8" ht="47.25" customHeight="1" x14ac:dyDescent="0.2">
      <c r="A942" s="48" t="s">
        <v>998</v>
      </c>
      <c r="B942" s="45" t="s">
        <v>542</v>
      </c>
      <c r="C942" s="45" t="s">
        <v>361</v>
      </c>
      <c r="D942" s="302" t="s">
        <v>571</v>
      </c>
      <c r="E942" s="45">
        <v>610</v>
      </c>
      <c r="F942" s="298">
        <v>1485.5</v>
      </c>
      <c r="G942" s="26"/>
      <c r="H942" s="13"/>
    </row>
    <row r="943" spans="1:8" ht="47.25" customHeight="1" x14ac:dyDescent="0.2">
      <c r="A943" s="48" t="s">
        <v>997</v>
      </c>
      <c r="B943" s="45" t="s">
        <v>542</v>
      </c>
      <c r="C943" s="45" t="s">
        <v>361</v>
      </c>
      <c r="D943" s="302" t="s">
        <v>571</v>
      </c>
      <c r="E943" s="45">
        <v>620</v>
      </c>
      <c r="F943" s="298">
        <v>2980.2</v>
      </c>
      <c r="G943" s="26"/>
      <c r="H943" s="13"/>
    </row>
    <row r="944" spans="1:8" ht="31.5" customHeight="1" x14ac:dyDescent="0.2">
      <c r="A944" s="20" t="s">
        <v>780</v>
      </c>
      <c r="B944" s="45" t="s">
        <v>542</v>
      </c>
      <c r="C944" s="45" t="s">
        <v>361</v>
      </c>
      <c r="D944" s="302" t="s">
        <v>355</v>
      </c>
      <c r="E944" s="45" t="s">
        <v>13</v>
      </c>
      <c r="F944" s="288">
        <f>F945</f>
        <v>3000</v>
      </c>
      <c r="G944" s="12"/>
      <c r="H944" s="13"/>
    </row>
    <row r="945" spans="1:8" ht="15.75" customHeight="1" x14ac:dyDescent="0.2">
      <c r="A945" s="240" t="s">
        <v>593</v>
      </c>
      <c r="B945" s="45" t="s">
        <v>542</v>
      </c>
      <c r="C945" s="45" t="s">
        <v>361</v>
      </c>
      <c r="D945" s="302" t="s">
        <v>594</v>
      </c>
      <c r="E945" s="45"/>
      <c r="F945" s="335">
        <f>F946</f>
        <v>3000</v>
      </c>
      <c r="G945" s="74"/>
      <c r="H945" s="39"/>
    </row>
    <row r="946" spans="1:8" ht="31.5" customHeight="1" x14ac:dyDescent="0.2">
      <c r="A946" s="20" t="s">
        <v>40</v>
      </c>
      <c r="B946" s="45" t="s">
        <v>542</v>
      </c>
      <c r="C946" s="45" t="s">
        <v>361</v>
      </c>
      <c r="D946" s="302" t="s">
        <v>767</v>
      </c>
      <c r="E946" s="45"/>
      <c r="F946" s="335">
        <f>F947</f>
        <v>3000</v>
      </c>
      <c r="G946" s="74"/>
      <c r="H946" s="39"/>
    </row>
    <row r="947" spans="1:8" ht="15.75" customHeight="1" x14ac:dyDescent="0.2">
      <c r="A947" s="20" t="s">
        <v>998</v>
      </c>
      <c r="B947" s="45" t="s">
        <v>542</v>
      </c>
      <c r="C947" s="45" t="s">
        <v>361</v>
      </c>
      <c r="D947" s="302" t="s">
        <v>767</v>
      </c>
      <c r="E947" s="45">
        <v>610</v>
      </c>
      <c r="F947" s="335">
        <f>3000</f>
        <v>3000</v>
      </c>
      <c r="G947" s="59"/>
      <c r="H947" s="150"/>
    </row>
    <row r="948" spans="1:8" ht="15.75" customHeight="1" x14ac:dyDescent="0.2">
      <c r="A948" s="20" t="s">
        <v>573</v>
      </c>
      <c r="B948" s="45" t="s">
        <v>542</v>
      </c>
      <c r="C948" s="45" t="s">
        <v>361</v>
      </c>
      <c r="D948" s="302" t="s">
        <v>574</v>
      </c>
      <c r="E948" s="45" t="s">
        <v>13</v>
      </c>
      <c r="F948" s="288">
        <f>F949</f>
        <v>47948</v>
      </c>
      <c r="G948" s="12"/>
      <c r="H948" s="13"/>
    </row>
    <row r="949" spans="1:8" ht="15.75" customHeight="1" x14ac:dyDescent="0.2">
      <c r="A949" s="20" t="s">
        <v>575</v>
      </c>
      <c r="B949" s="45">
        <v>907</v>
      </c>
      <c r="C949" s="302" t="s">
        <v>361</v>
      </c>
      <c r="D949" s="302" t="s">
        <v>576</v>
      </c>
      <c r="E949" s="45"/>
      <c r="F949" s="288">
        <f>F950</f>
        <v>47948</v>
      </c>
      <c r="G949" s="12"/>
      <c r="H949" s="13"/>
    </row>
    <row r="950" spans="1:8" ht="47.25" customHeight="1" x14ac:dyDescent="0.2">
      <c r="A950" s="20" t="s">
        <v>595</v>
      </c>
      <c r="B950" s="45" t="s">
        <v>542</v>
      </c>
      <c r="C950" s="45" t="s">
        <v>361</v>
      </c>
      <c r="D950" s="302" t="s">
        <v>596</v>
      </c>
      <c r="E950" s="45"/>
      <c r="F950" s="288">
        <f>F951</f>
        <v>47948</v>
      </c>
      <c r="G950" s="80"/>
      <c r="H950" s="13"/>
    </row>
    <row r="951" spans="1:8" ht="47.25" customHeight="1" x14ac:dyDescent="0.2">
      <c r="A951" s="14" t="s">
        <v>206</v>
      </c>
      <c r="B951" s="45" t="s">
        <v>542</v>
      </c>
      <c r="C951" s="45" t="s">
        <v>361</v>
      </c>
      <c r="D951" s="302" t="s">
        <v>596</v>
      </c>
      <c r="E951" s="45">
        <v>810</v>
      </c>
      <c r="F951" s="288">
        <f>49563.3-1615.3</f>
        <v>47948</v>
      </c>
      <c r="G951" s="86"/>
      <c r="H951" s="13"/>
    </row>
    <row r="952" spans="1:8" ht="47.25" customHeight="1" x14ac:dyDescent="0.2">
      <c r="A952" s="111" t="s">
        <v>672</v>
      </c>
      <c r="B952" s="45">
        <v>907</v>
      </c>
      <c r="C952" s="45" t="s">
        <v>361</v>
      </c>
      <c r="D952" s="135" t="s">
        <v>673</v>
      </c>
      <c r="E952" s="303"/>
      <c r="F952" s="298">
        <f>F953</f>
        <v>191.8</v>
      </c>
      <c r="G952" s="31"/>
      <c r="H952" s="163"/>
    </row>
    <row r="953" spans="1:8" ht="114" customHeight="1" x14ac:dyDescent="0.2">
      <c r="A953" s="20" t="s">
        <v>757</v>
      </c>
      <c r="B953" s="45" t="s">
        <v>542</v>
      </c>
      <c r="C953" s="45" t="s">
        <v>361</v>
      </c>
      <c r="D953" s="135" t="s">
        <v>759</v>
      </c>
      <c r="E953" s="303"/>
      <c r="F953" s="298">
        <f>F954+F955</f>
        <v>191.8</v>
      </c>
      <c r="G953" s="31"/>
      <c r="H953" s="163"/>
    </row>
    <row r="954" spans="1:8" ht="15.75" customHeight="1" x14ac:dyDescent="0.2">
      <c r="A954" s="20" t="s">
        <v>998</v>
      </c>
      <c r="B954" s="45" t="s">
        <v>542</v>
      </c>
      <c r="C954" s="45" t="s">
        <v>361</v>
      </c>
      <c r="D954" s="135" t="s">
        <v>759</v>
      </c>
      <c r="E954" s="303">
        <v>610</v>
      </c>
      <c r="F954" s="298">
        <v>141</v>
      </c>
      <c r="G954" s="250"/>
      <c r="H954" s="163"/>
    </row>
    <row r="955" spans="1:8" ht="15.75" customHeight="1" x14ac:dyDescent="0.2">
      <c r="A955" s="20" t="s">
        <v>997</v>
      </c>
      <c r="B955" s="45" t="s">
        <v>542</v>
      </c>
      <c r="C955" s="45" t="s">
        <v>361</v>
      </c>
      <c r="D955" s="135" t="s">
        <v>759</v>
      </c>
      <c r="E955" s="21">
        <v>620</v>
      </c>
      <c r="F955" s="298">
        <v>50.8</v>
      </c>
      <c r="G955" s="72"/>
      <c r="H955" s="163"/>
    </row>
    <row r="956" spans="1:8" ht="15.75" customHeight="1" x14ac:dyDescent="0.2">
      <c r="A956" s="20" t="s">
        <v>792</v>
      </c>
      <c r="B956" s="45" t="s">
        <v>542</v>
      </c>
      <c r="C956" s="302" t="s">
        <v>793</v>
      </c>
      <c r="D956" s="302"/>
      <c r="E956" s="45"/>
      <c r="F956" s="288">
        <f>F957</f>
        <v>153706.09999999998</v>
      </c>
      <c r="G956" s="17"/>
      <c r="H956" s="13"/>
    </row>
    <row r="957" spans="1:8" ht="31.5" customHeight="1" x14ac:dyDescent="0.2">
      <c r="A957" s="20" t="s">
        <v>349</v>
      </c>
      <c r="B957" s="45" t="s">
        <v>542</v>
      </c>
      <c r="C957" s="302" t="s">
        <v>793</v>
      </c>
      <c r="D957" s="302" t="s">
        <v>350</v>
      </c>
      <c r="E957" s="45"/>
      <c r="F957" s="288">
        <f>F958</f>
        <v>153706.09999999998</v>
      </c>
      <c r="G957" s="17"/>
      <c r="H957" s="13"/>
    </row>
    <row r="958" spans="1:8" ht="31.5" customHeight="1" x14ac:dyDescent="0.2">
      <c r="A958" s="20" t="s">
        <v>456</v>
      </c>
      <c r="B958" s="45" t="s">
        <v>542</v>
      </c>
      <c r="C958" s="302" t="s">
        <v>793</v>
      </c>
      <c r="D958" s="302" t="s">
        <v>457</v>
      </c>
      <c r="E958" s="45"/>
      <c r="F958" s="288">
        <f>F959</f>
        <v>153706.09999999998</v>
      </c>
      <c r="G958" s="17"/>
      <c r="H958" s="13"/>
    </row>
    <row r="959" spans="1:8" ht="15.75" customHeight="1" x14ac:dyDescent="0.2">
      <c r="A959" s="20" t="s">
        <v>588</v>
      </c>
      <c r="B959" s="45" t="s">
        <v>542</v>
      </c>
      <c r="C959" s="302" t="s">
        <v>793</v>
      </c>
      <c r="D959" s="302" t="s">
        <v>589</v>
      </c>
      <c r="E959" s="45"/>
      <c r="F959" s="288">
        <f>F960+F963</f>
        <v>153706.09999999998</v>
      </c>
      <c r="G959" s="17"/>
      <c r="H959" s="13"/>
    </row>
    <row r="960" spans="1:8" ht="31.5" customHeight="1" x14ac:dyDescent="0.2">
      <c r="A960" s="20" t="s">
        <v>40</v>
      </c>
      <c r="B960" s="45" t="s">
        <v>542</v>
      </c>
      <c r="C960" s="302" t="s">
        <v>793</v>
      </c>
      <c r="D960" s="302" t="s">
        <v>590</v>
      </c>
      <c r="E960" s="45"/>
      <c r="F960" s="288">
        <f>F961+F962</f>
        <v>123029.09999999999</v>
      </c>
      <c r="G960" s="17"/>
      <c r="H960" s="13"/>
    </row>
    <row r="961" spans="1:8" x14ac:dyDescent="0.2">
      <c r="A961" s="20" t="s">
        <v>998</v>
      </c>
      <c r="B961" s="45" t="s">
        <v>542</v>
      </c>
      <c r="C961" s="302" t="s">
        <v>793</v>
      </c>
      <c r="D961" s="302" t="s">
        <v>590</v>
      </c>
      <c r="E961" s="45">
        <v>610</v>
      </c>
      <c r="F961" s="288">
        <f>28866.5+500+551.5+200+146.5</f>
        <v>30264.5</v>
      </c>
      <c r="G961" s="59"/>
      <c r="H961" s="13"/>
    </row>
    <row r="962" spans="1:8" x14ac:dyDescent="0.2">
      <c r="A962" s="20" t="s">
        <v>997</v>
      </c>
      <c r="B962" s="45" t="s">
        <v>542</v>
      </c>
      <c r="C962" s="302" t="s">
        <v>793</v>
      </c>
      <c r="D962" s="302" t="s">
        <v>590</v>
      </c>
      <c r="E962" s="45">
        <v>620</v>
      </c>
      <c r="F962" s="288">
        <f>90395.2+702+1520.9+146.5</f>
        <v>92764.599999999991</v>
      </c>
      <c r="G962" s="59"/>
      <c r="H962" s="13"/>
    </row>
    <row r="963" spans="1:8" ht="134.25" customHeight="1" x14ac:dyDescent="0.2">
      <c r="A963" s="20" t="s">
        <v>583</v>
      </c>
      <c r="B963" s="45" t="s">
        <v>542</v>
      </c>
      <c r="C963" s="302" t="s">
        <v>793</v>
      </c>
      <c r="D963" s="302" t="s">
        <v>846</v>
      </c>
      <c r="E963" s="45"/>
      <c r="F963" s="298">
        <f>F964+F965</f>
        <v>30677</v>
      </c>
      <c r="G963" s="17"/>
      <c r="H963" s="13"/>
    </row>
    <row r="964" spans="1:8" x14ac:dyDescent="0.2">
      <c r="A964" s="20" t="s">
        <v>998</v>
      </c>
      <c r="B964" s="45" t="s">
        <v>542</v>
      </c>
      <c r="C964" s="302" t="s">
        <v>793</v>
      </c>
      <c r="D964" s="302" t="s">
        <v>846</v>
      </c>
      <c r="E964" s="45">
        <v>610</v>
      </c>
      <c r="F964" s="298">
        <f>8592.5+984.5</f>
        <v>9577</v>
      </c>
      <c r="G964" s="32"/>
      <c r="H964" s="13"/>
    </row>
    <row r="965" spans="1:8" x14ac:dyDescent="0.2">
      <c r="A965" s="20" t="s">
        <v>997</v>
      </c>
      <c r="B965" s="45" t="s">
        <v>542</v>
      </c>
      <c r="C965" s="302" t="s">
        <v>793</v>
      </c>
      <c r="D965" s="302" t="s">
        <v>846</v>
      </c>
      <c r="E965" s="45">
        <v>620</v>
      </c>
      <c r="F965" s="298">
        <f>19000+2100</f>
        <v>21100</v>
      </c>
      <c r="G965" s="32"/>
      <c r="H965" s="13"/>
    </row>
    <row r="966" spans="1:8" ht="15.75" customHeight="1" x14ac:dyDescent="0.2">
      <c r="A966" s="20" t="s">
        <v>1081</v>
      </c>
      <c r="B966" s="45" t="s">
        <v>542</v>
      </c>
      <c r="C966" s="22" t="s">
        <v>1080</v>
      </c>
      <c r="D966" s="22"/>
      <c r="E966" s="21"/>
      <c r="F966" s="294">
        <f>F967</f>
        <v>15</v>
      </c>
      <c r="G966" s="12"/>
      <c r="H966" s="13"/>
    </row>
    <row r="967" spans="1:8" ht="15.75" customHeight="1" x14ac:dyDescent="0.2">
      <c r="A967" s="20" t="s">
        <v>75</v>
      </c>
      <c r="B967" s="45" t="s">
        <v>542</v>
      </c>
      <c r="C967" s="22" t="s">
        <v>1080</v>
      </c>
      <c r="D967" s="22" t="s">
        <v>76</v>
      </c>
      <c r="E967" s="21" t="s">
        <v>13</v>
      </c>
      <c r="F967" s="294">
        <f>F968</f>
        <v>15</v>
      </c>
      <c r="G967" s="12"/>
      <c r="H967" s="13"/>
    </row>
    <row r="968" spans="1:8" ht="15.75" customHeight="1" x14ac:dyDescent="0.2">
      <c r="A968" s="20" t="s">
        <v>77</v>
      </c>
      <c r="B968" s="45" t="s">
        <v>542</v>
      </c>
      <c r="C968" s="22" t="s">
        <v>1080</v>
      </c>
      <c r="D968" s="22" t="s">
        <v>78</v>
      </c>
      <c r="E968" s="21" t="s">
        <v>13</v>
      </c>
      <c r="F968" s="294">
        <f>F969</f>
        <v>15</v>
      </c>
      <c r="G968" s="23"/>
      <c r="H968" s="13"/>
    </row>
    <row r="969" spans="1:8" ht="15.75" customHeight="1" x14ac:dyDescent="0.2">
      <c r="A969" s="24" t="s">
        <v>80</v>
      </c>
      <c r="B969" s="45" t="s">
        <v>542</v>
      </c>
      <c r="C969" s="22" t="s">
        <v>1080</v>
      </c>
      <c r="D969" s="22" t="s">
        <v>81</v>
      </c>
      <c r="E969" s="21"/>
      <c r="F969" s="294">
        <f>F970</f>
        <v>15</v>
      </c>
      <c r="G969" s="17"/>
      <c r="H969" s="13"/>
    </row>
    <row r="970" spans="1:8" ht="15.75" customHeight="1" x14ac:dyDescent="0.2">
      <c r="A970" s="14" t="s">
        <v>43</v>
      </c>
      <c r="B970" s="45" t="s">
        <v>542</v>
      </c>
      <c r="C970" s="22" t="s">
        <v>1080</v>
      </c>
      <c r="D970" s="22" t="s">
        <v>81</v>
      </c>
      <c r="E970" s="21">
        <v>240</v>
      </c>
      <c r="F970" s="294">
        <f>15</f>
        <v>15</v>
      </c>
      <c r="G970" s="17"/>
      <c r="H970" s="13"/>
    </row>
    <row r="971" spans="1:8" ht="15.75" customHeight="1" x14ac:dyDescent="0.2">
      <c r="A971" s="20" t="s">
        <v>791</v>
      </c>
      <c r="B971" s="45" t="s">
        <v>542</v>
      </c>
      <c r="C971" s="45" t="s">
        <v>372</v>
      </c>
      <c r="D971" s="302" t="s">
        <v>13</v>
      </c>
      <c r="E971" s="45" t="s">
        <v>13</v>
      </c>
      <c r="F971" s="288">
        <f>F972+F994</f>
        <v>49562.700000000004</v>
      </c>
      <c r="G971" s="263"/>
      <c r="H971" s="13"/>
    </row>
    <row r="972" spans="1:8" ht="31.5" customHeight="1" x14ac:dyDescent="0.2">
      <c r="A972" s="20" t="s">
        <v>349</v>
      </c>
      <c r="B972" s="45" t="s">
        <v>542</v>
      </c>
      <c r="C972" s="45" t="s">
        <v>372</v>
      </c>
      <c r="D972" s="302" t="s">
        <v>350</v>
      </c>
      <c r="E972" s="45" t="s">
        <v>13</v>
      </c>
      <c r="F972" s="288">
        <f>F973</f>
        <v>49557.8</v>
      </c>
      <c r="G972" s="263"/>
      <c r="H972" s="13"/>
    </row>
    <row r="973" spans="1:8" ht="31.5" customHeight="1" x14ac:dyDescent="0.2">
      <c r="A973" s="20" t="s">
        <v>543</v>
      </c>
      <c r="B973" s="45" t="s">
        <v>542</v>
      </c>
      <c r="C973" s="45" t="s">
        <v>372</v>
      </c>
      <c r="D973" s="302" t="s">
        <v>544</v>
      </c>
      <c r="E973" s="45" t="s">
        <v>13</v>
      </c>
      <c r="F973" s="288">
        <f>F974+F978+F983+F986</f>
        <v>49557.8</v>
      </c>
      <c r="G973" s="263"/>
      <c r="H973" s="13"/>
    </row>
    <row r="974" spans="1:8" ht="31.5" customHeight="1" x14ac:dyDescent="0.2">
      <c r="A974" s="20" t="s">
        <v>599</v>
      </c>
      <c r="B974" s="45" t="s">
        <v>542</v>
      </c>
      <c r="C974" s="45" t="s">
        <v>372</v>
      </c>
      <c r="D974" s="302" t="s">
        <v>600</v>
      </c>
      <c r="E974" s="45" t="s">
        <v>13</v>
      </c>
      <c r="F974" s="288">
        <f>F975</f>
        <v>1042.6999999999998</v>
      </c>
      <c r="G974" s="263"/>
      <c r="H974" s="13"/>
    </row>
    <row r="975" spans="1:8" ht="31.5" customHeight="1" x14ac:dyDescent="0.2">
      <c r="A975" s="20" t="s">
        <v>40</v>
      </c>
      <c r="B975" s="45" t="s">
        <v>542</v>
      </c>
      <c r="C975" s="45" t="s">
        <v>372</v>
      </c>
      <c r="D975" s="302" t="s">
        <v>601</v>
      </c>
      <c r="E975" s="45"/>
      <c r="F975" s="288">
        <f>F976+F977</f>
        <v>1042.6999999999998</v>
      </c>
      <c r="G975" s="263"/>
      <c r="H975" s="13"/>
    </row>
    <row r="976" spans="1:8" ht="15.75" customHeight="1" x14ac:dyDescent="0.2">
      <c r="A976" s="20" t="s">
        <v>998</v>
      </c>
      <c r="B976" s="45" t="s">
        <v>542</v>
      </c>
      <c r="C976" s="45" t="s">
        <v>372</v>
      </c>
      <c r="D976" s="302" t="s">
        <v>601</v>
      </c>
      <c r="E976" s="303">
        <v>610</v>
      </c>
      <c r="F976" s="288">
        <f>487.4</f>
        <v>487.4</v>
      </c>
      <c r="G976" s="74"/>
      <c r="H976" s="13"/>
    </row>
    <row r="977" spans="1:9" ht="15.75" customHeight="1" x14ac:dyDescent="0.2">
      <c r="A977" s="20" t="s">
        <v>997</v>
      </c>
      <c r="B977" s="45" t="s">
        <v>542</v>
      </c>
      <c r="C977" s="45" t="s">
        <v>372</v>
      </c>
      <c r="D977" s="302" t="s">
        <v>601</v>
      </c>
      <c r="E977" s="21">
        <v>620</v>
      </c>
      <c r="F977" s="288">
        <f>555.3</f>
        <v>555.29999999999995</v>
      </c>
      <c r="G977" s="74"/>
      <c r="H977" s="13"/>
    </row>
    <row r="978" spans="1:9" ht="15.75" customHeight="1" x14ac:dyDescent="0.2">
      <c r="A978" s="20" t="s">
        <v>602</v>
      </c>
      <c r="B978" s="45" t="s">
        <v>542</v>
      </c>
      <c r="C978" s="45" t="s">
        <v>372</v>
      </c>
      <c r="D978" s="302" t="s">
        <v>603</v>
      </c>
      <c r="E978" s="45" t="s">
        <v>13</v>
      </c>
      <c r="F978" s="288">
        <f>F979</f>
        <v>25551.3</v>
      </c>
      <c r="G978" s="263"/>
      <c r="H978" s="13"/>
    </row>
    <row r="979" spans="1:9" ht="31.5" customHeight="1" x14ac:dyDescent="0.2">
      <c r="A979" s="20" t="s">
        <v>40</v>
      </c>
      <c r="B979" s="45" t="s">
        <v>542</v>
      </c>
      <c r="C979" s="45" t="s">
        <v>372</v>
      </c>
      <c r="D979" s="302" t="s">
        <v>604</v>
      </c>
      <c r="E979" s="45"/>
      <c r="F979" s="288">
        <f>F980+F982+F981</f>
        <v>25551.3</v>
      </c>
      <c r="G979" s="263"/>
      <c r="H979" s="13"/>
    </row>
    <row r="980" spans="1:9" ht="15.75" customHeight="1" x14ac:dyDescent="0.2">
      <c r="A980" s="20" t="s">
        <v>998</v>
      </c>
      <c r="B980" s="45" t="s">
        <v>542</v>
      </c>
      <c r="C980" s="45" t="s">
        <v>372</v>
      </c>
      <c r="D980" s="302" t="s">
        <v>604</v>
      </c>
      <c r="E980" s="303">
        <v>610</v>
      </c>
      <c r="F980" s="288">
        <f>249</f>
        <v>249</v>
      </c>
      <c r="G980" s="59"/>
      <c r="H980" s="13"/>
    </row>
    <row r="981" spans="1:9" ht="47.25" customHeight="1" x14ac:dyDescent="0.2">
      <c r="A981" s="20" t="s">
        <v>795</v>
      </c>
      <c r="B981" s="45" t="s">
        <v>542</v>
      </c>
      <c r="C981" s="45" t="s">
        <v>372</v>
      </c>
      <c r="D981" s="302" t="s">
        <v>604</v>
      </c>
      <c r="E981" s="45">
        <v>462</v>
      </c>
      <c r="F981" s="288">
        <v>25232.3</v>
      </c>
      <c r="G981" s="59"/>
      <c r="H981" s="13"/>
    </row>
    <row r="982" spans="1:9" ht="15.75" customHeight="1" x14ac:dyDescent="0.2">
      <c r="A982" s="20" t="s">
        <v>997</v>
      </c>
      <c r="B982" s="45" t="s">
        <v>542</v>
      </c>
      <c r="C982" s="45" t="s">
        <v>372</v>
      </c>
      <c r="D982" s="302" t="s">
        <v>604</v>
      </c>
      <c r="E982" s="21">
        <v>620</v>
      </c>
      <c r="F982" s="288">
        <f>70</f>
        <v>70</v>
      </c>
      <c r="G982" s="59"/>
      <c r="H982" s="13"/>
    </row>
    <row r="983" spans="1:9" ht="31.5" customHeight="1" x14ac:dyDescent="0.2">
      <c r="A983" s="20" t="s">
        <v>605</v>
      </c>
      <c r="B983" s="45" t="s">
        <v>542</v>
      </c>
      <c r="C983" s="45" t="s">
        <v>372</v>
      </c>
      <c r="D983" s="302" t="s">
        <v>606</v>
      </c>
      <c r="E983" s="45" t="s">
        <v>13</v>
      </c>
      <c r="F983" s="288">
        <f>F984</f>
        <v>25</v>
      </c>
      <c r="G983" s="263"/>
      <c r="H983" s="13"/>
    </row>
    <row r="984" spans="1:9" ht="31.5" customHeight="1" x14ac:dyDescent="0.2">
      <c r="A984" s="20" t="s">
        <v>40</v>
      </c>
      <c r="B984" s="45" t="s">
        <v>542</v>
      </c>
      <c r="C984" s="45" t="s">
        <v>372</v>
      </c>
      <c r="D984" s="302" t="s">
        <v>607</v>
      </c>
      <c r="E984" s="45"/>
      <c r="F984" s="288">
        <f>F985</f>
        <v>25</v>
      </c>
      <c r="G984" s="74"/>
      <c r="H984" s="13"/>
    </row>
    <row r="985" spans="1:9" ht="15.75" customHeight="1" x14ac:dyDescent="0.2">
      <c r="A985" s="20" t="s">
        <v>997</v>
      </c>
      <c r="B985" s="45" t="s">
        <v>542</v>
      </c>
      <c r="C985" s="45" t="s">
        <v>372</v>
      </c>
      <c r="D985" s="302" t="s">
        <v>607</v>
      </c>
      <c r="E985" s="21">
        <v>620</v>
      </c>
      <c r="F985" s="288">
        <f>25</f>
        <v>25</v>
      </c>
      <c r="G985" s="74"/>
      <c r="H985" s="13"/>
    </row>
    <row r="986" spans="1:9" ht="31.5" customHeight="1" x14ac:dyDescent="0.2">
      <c r="A986" s="20" t="s">
        <v>545</v>
      </c>
      <c r="B986" s="45" t="s">
        <v>542</v>
      </c>
      <c r="C986" s="45" t="s">
        <v>372</v>
      </c>
      <c r="D986" s="302" t="s">
        <v>546</v>
      </c>
      <c r="E986" s="45" t="s">
        <v>13</v>
      </c>
      <c r="F986" s="288">
        <f>F990+F987</f>
        <v>22938.799999999999</v>
      </c>
      <c r="G986" s="263"/>
      <c r="H986" s="13"/>
    </row>
    <row r="987" spans="1:9" ht="31.5" customHeight="1" x14ac:dyDescent="0.2">
      <c r="A987" s="20" t="s">
        <v>40</v>
      </c>
      <c r="B987" s="45" t="s">
        <v>542</v>
      </c>
      <c r="C987" s="45" t="s">
        <v>372</v>
      </c>
      <c r="D987" s="302" t="s">
        <v>547</v>
      </c>
      <c r="E987" s="261"/>
      <c r="F987" s="288">
        <f>F988+F989</f>
        <v>19915.5</v>
      </c>
      <c r="G987" s="51"/>
      <c r="H987" s="69"/>
      <c r="I987" s="73"/>
    </row>
    <row r="988" spans="1:9" ht="15.75" customHeight="1" x14ac:dyDescent="0.2">
      <c r="A988" s="20" t="s">
        <v>998</v>
      </c>
      <c r="B988" s="45" t="s">
        <v>542</v>
      </c>
      <c r="C988" s="45" t="s">
        <v>372</v>
      </c>
      <c r="D988" s="302" t="s">
        <v>547</v>
      </c>
      <c r="E988" s="303">
        <v>610</v>
      </c>
      <c r="F988" s="288">
        <f>7856</f>
        <v>7856</v>
      </c>
      <c r="G988" s="68"/>
      <c r="H988" s="124"/>
      <c r="I988" s="47"/>
    </row>
    <row r="989" spans="1:9" ht="15.75" customHeight="1" x14ac:dyDescent="0.2">
      <c r="A989" s="20" t="s">
        <v>997</v>
      </c>
      <c r="B989" s="45" t="s">
        <v>542</v>
      </c>
      <c r="C989" s="45" t="s">
        <v>372</v>
      </c>
      <c r="D989" s="302" t="s">
        <v>547</v>
      </c>
      <c r="E989" s="21">
        <v>620</v>
      </c>
      <c r="F989" s="288">
        <f>12059.5</f>
        <v>12059.5</v>
      </c>
      <c r="G989" s="17"/>
      <c r="H989" s="124"/>
    </row>
    <row r="990" spans="1:9" ht="31.5" customHeight="1" x14ac:dyDescent="0.2">
      <c r="A990" s="20" t="s">
        <v>82</v>
      </c>
      <c r="B990" s="45" t="s">
        <v>542</v>
      </c>
      <c r="C990" s="45" t="s">
        <v>372</v>
      </c>
      <c r="D990" s="302" t="s">
        <v>608</v>
      </c>
      <c r="E990" s="45"/>
      <c r="F990" s="288">
        <f>F991+F992</f>
        <v>3023.3</v>
      </c>
      <c r="G990" s="263"/>
      <c r="H990" s="81"/>
    </row>
    <row r="991" spans="1:9" ht="34.5" customHeight="1" x14ac:dyDescent="0.2">
      <c r="A991" s="14" t="s">
        <v>43</v>
      </c>
      <c r="B991" s="45" t="s">
        <v>542</v>
      </c>
      <c r="C991" s="45" t="s">
        <v>372</v>
      </c>
      <c r="D991" s="302" t="s">
        <v>608</v>
      </c>
      <c r="E991" s="45">
        <v>240</v>
      </c>
      <c r="F991" s="288">
        <f>1698.3</f>
        <v>1698.3</v>
      </c>
      <c r="G991" s="68"/>
      <c r="H991" s="124"/>
      <c r="I991" s="73"/>
    </row>
    <row r="992" spans="1:9" ht="32.25" customHeight="1" x14ac:dyDescent="0.2">
      <c r="A992" s="20" t="s">
        <v>476</v>
      </c>
      <c r="B992" s="45" t="s">
        <v>542</v>
      </c>
      <c r="C992" s="45" t="s">
        <v>372</v>
      </c>
      <c r="D992" s="302" t="s">
        <v>608</v>
      </c>
      <c r="E992" s="45">
        <v>630</v>
      </c>
      <c r="F992" s="288">
        <f>1325</f>
        <v>1325</v>
      </c>
      <c r="G992" s="17"/>
      <c r="H992" s="82"/>
      <c r="I992" s="73"/>
    </row>
    <row r="993" spans="1:8" ht="47.25" customHeight="1" x14ac:dyDescent="0.2">
      <c r="A993" s="111" t="s">
        <v>672</v>
      </c>
      <c r="B993" s="45">
        <v>907</v>
      </c>
      <c r="C993" s="45" t="s">
        <v>372</v>
      </c>
      <c r="D993" s="302" t="s">
        <v>673</v>
      </c>
      <c r="E993" s="45"/>
      <c r="F993" s="298">
        <f>F994</f>
        <v>4.9000000000000004</v>
      </c>
      <c r="G993" s="68"/>
      <c r="H993" s="163"/>
    </row>
    <row r="994" spans="1:8" ht="111" customHeight="1" x14ac:dyDescent="0.2">
      <c r="A994" s="20" t="s">
        <v>757</v>
      </c>
      <c r="B994" s="45" t="s">
        <v>542</v>
      </c>
      <c r="C994" s="45" t="s">
        <v>372</v>
      </c>
      <c r="D994" s="302" t="s">
        <v>759</v>
      </c>
      <c r="E994" s="45"/>
      <c r="F994" s="298">
        <f>F995+F996</f>
        <v>4.9000000000000004</v>
      </c>
      <c r="G994" s="59"/>
      <c r="H994" s="163"/>
    </row>
    <row r="995" spans="1:8" ht="25.5" customHeight="1" x14ac:dyDescent="0.2">
      <c r="A995" s="20" t="s">
        <v>998</v>
      </c>
      <c r="B995" s="45" t="s">
        <v>542</v>
      </c>
      <c r="C995" s="45" t="s">
        <v>372</v>
      </c>
      <c r="D995" s="302" t="s">
        <v>759</v>
      </c>
      <c r="E995" s="303">
        <v>610</v>
      </c>
      <c r="F995" s="298">
        <v>2.2000000000000002</v>
      </c>
      <c r="G995" s="196"/>
      <c r="H995" s="163"/>
    </row>
    <row r="996" spans="1:8" ht="15.75" customHeight="1" x14ac:dyDescent="0.2">
      <c r="A996" s="20" t="s">
        <v>997</v>
      </c>
      <c r="B996" s="45" t="s">
        <v>542</v>
      </c>
      <c r="C996" s="45" t="s">
        <v>372</v>
      </c>
      <c r="D996" s="302" t="s">
        <v>759</v>
      </c>
      <c r="E996" s="21">
        <v>620</v>
      </c>
      <c r="F996" s="298">
        <v>2.7</v>
      </c>
      <c r="G996" s="59"/>
      <c r="H996" s="163"/>
    </row>
    <row r="997" spans="1:8" ht="15.75" customHeight="1" x14ac:dyDescent="0.2">
      <c r="A997" s="20" t="s">
        <v>387</v>
      </c>
      <c r="B997" s="45" t="s">
        <v>542</v>
      </c>
      <c r="C997" s="45" t="s">
        <v>388</v>
      </c>
      <c r="D997" s="302" t="s">
        <v>13</v>
      </c>
      <c r="E997" s="45" t="s">
        <v>13</v>
      </c>
      <c r="F997" s="288">
        <f>F998+F1053+F1059+F1065+F1070+F1086+F1091+F1095</f>
        <v>250433.49999999997</v>
      </c>
      <c r="G997" s="12"/>
      <c r="H997" s="13"/>
    </row>
    <row r="998" spans="1:8" ht="31.5" customHeight="1" x14ac:dyDescent="0.2">
      <c r="A998" s="20" t="s">
        <v>349</v>
      </c>
      <c r="B998" s="45" t="s">
        <v>542</v>
      </c>
      <c r="C998" s="45" t="s">
        <v>388</v>
      </c>
      <c r="D998" s="302" t="s">
        <v>350</v>
      </c>
      <c r="E998" s="45" t="s">
        <v>13</v>
      </c>
      <c r="F998" s="288">
        <f>F999+F1027+F1020+F1042+F1038</f>
        <v>149833.49999999997</v>
      </c>
      <c r="G998" s="12"/>
      <c r="H998" s="13"/>
    </row>
    <row r="999" spans="1:8" ht="31.5" customHeight="1" x14ac:dyDescent="0.2">
      <c r="A999" s="20" t="s">
        <v>578</v>
      </c>
      <c r="B999" s="45" t="s">
        <v>542</v>
      </c>
      <c r="C999" s="45" t="s">
        <v>388</v>
      </c>
      <c r="D999" s="302" t="s">
        <v>579</v>
      </c>
      <c r="E999" s="45" t="s">
        <v>13</v>
      </c>
      <c r="F999" s="288">
        <f>F1008+F1015+F1000+F1005</f>
        <v>6650.6</v>
      </c>
      <c r="G999" s="12"/>
      <c r="H999" s="13"/>
    </row>
    <row r="1000" spans="1:8" ht="15.75" customHeight="1" x14ac:dyDescent="0.2">
      <c r="A1000" s="20" t="s">
        <v>580</v>
      </c>
      <c r="B1000" s="45" t="s">
        <v>542</v>
      </c>
      <c r="C1000" s="45" t="s">
        <v>388</v>
      </c>
      <c r="D1000" s="302" t="s">
        <v>581</v>
      </c>
      <c r="E1000" s="45"/>
      <c r="F1000" s="288">
        <f>F1001+F1003</f>
        <v>4930.6000000000004</v>
      </c>
      <c r="G1000" s="12"/>
      <c r="H1000" s="13"/>
    </row>
    <row r="1001" spans="1:8" ht="31.5" customHeight="1" x14ac:dyDescent="0.2">
      <c r="A1001" s="20" t="s">
        <v>82</v>
      </c>
      <c r="B1001" s="45" t="s">
        <v>542</v>
      </c>
      <c r="C1001" s="45" t="s">
        <v>388</v>
      </c>
      <c r="D1001" s="302" t="s">
        <v>796</v>
      </c>
      <c r="E1001" s="45"/>
      <c r="F1001" s="288">
        <f>F1002</f>
        <v>300</v>
      </c>
      <c r="G1001" s="12"/>
      <c r="H1001" s="13"/>
    </row>
    <row r="1002" spans="1:8" ht="36.75" customHeight="1" x14ac:dyDescent="0.2">
      <c r="A1002" s="14" t="s">
        <v>43</v>
      </c>
      <c r="B1002" s="45" t="s">
        <v>542</v>
      </c>
      <c r="C1002" s="45" t="s">
        <v>388</v>
      </c>
      <c r="D1002" s="302" t="s">
        <v>796</v>
      </c>
      <c r="E1002" s="45">
        <v>240</v>
      </c>
      <c r="F1002" s="288">
        <f>300</f>
        <v>300</v>
      </c>
      <c r="G1002" s="59"/>
      <c r="H1002" s="13"/>
    </row>
    <row r="1003" spans="1:8" ht="72.75" customHeight="1" x14ac:dyDescent="0.2">
      <c r="A1003" s="20" t="s">
        <v>1033</v>
      </c>
      <c r="B1003" s="45" t="s">
        <v>542</v>
      </c>
      <c r="C1003" s="45" t="s">
        <v>388</v>
      </c>
      <c r="D1003" s="302" t="s">
        <v>1032</v>
      </c>
      <c r="E1003" s="45"/>
      <c r="F1003" s="288">
        <f>F1004</f>
        <v>4630.6000000000004</v>
      </c>
      <c r="G1003" s="59"/>
      <c r="H1003" s="13"/>
    </row>
    <row r="1004" spans="1:8" ht="21.75" customHeight="1" x14ac:dyDescent="0.2">
      <c r="A1004" s="20" t="s">
        <v>998</v>
      </c>
      <c r="B1004" s="45" t="s">
        <v>542</v>
      </c>
      <c r="C1004" s="45" t="s">
        <v>388</v>
      </c>
      <c r="D1004" s="302" t="s">
        <v>1032</v>
      </c>
      <c r="E1004" s="45">
        <v>610</v>
      </c>
      <c r="F1004" s="288">
        <v>4630.6000000000004</v>
      </c>
      <c r="G1004" s="59"/>
      <c r="H1004" s="13"/>
    </row>
    <row r="1005" spans="1:8" ht="15.75" customHeight="1" x14ac:dyDescent="0.2">
      <c r="A1005" s="20" t="s">
        <v>585</v>
      </c>
      <c r="B1005" s="45" t="s">
        <v>542</v>
      </c>
      <c r="C1005" s="45" t="s">
        <v>388</v>
      </c>
      <c r="D1005" s="302" t="s">
        <v>586</v>
      </c>
      <c r="E1005" s="45"/>
      <c r="F1005" s="288">
        <f>F1006</f>
        <v>200</v>
      </c>
      <c r="G1005" s="12"/>
      <c r="H1005" s="13"/>
    </row>
    <row r="1006" spans="1:8" ht="31.5" customHeight="1" x14ac:dyDescent="0.2">
      <c r="A1006" s="20" t="s">
        <v>82</v>
      </c>
      <c r="B1006" s="45" t="s">
        <v>542</v>
      </c>
      <c r="C1006" s="45" t="s">
        <v>388</v>
      </c>
      <c r="D1006" s="302" t="s">
        <v>797</v>
      </c>
      <c r="E1006" s="45"/>
      <c r="F1006" s="288">
        <f>F1007</f>
        <v>200</v>
      </c>
      <c r="G1006" s="12"/>
      <c r="H1006" s="13"/>
    </row>
    <row r="1007" spans="1:8" ht="47.25" customHeight="1" x14ac:dyDescent="0.2">
      <c r="A1007" s="14" t="s">
        <v>43</v>
      </c>
      <c r="B1007" s="45" t="s">
        <v>542</v>
      </c>
      <c r="C1007" s="45" t="s">
        <v>388</v>
      </c>
      <c r="D1007" s="302" t="s">
        <v>797</v>
      </c>
      <c r="E1007" s="45">
        <v>240</v>
      </c>
      <c r="F1007" s="288">
        <f>200</f>
        <v>200</v>
      </c>
      <c r="G1007" s="12"/>
      <c r="H1007" s="13"/>
    </row>
    <row r="1008" spans="1:8" ht="15.75" customHeight="1" x14ac:dyDescent="0.2">
      <c r="A1008" s="20" t="s">
        <v>609</v>
      </c>
      <c r="B1008" s="45" t="s">
        <v>542</v>
      </c>
      <c r="C1008" s="45" t="s">
        <v>388</v>
      </c>
      <c r="D1008" s="302" t="s">
        <v>610</v>
      </c>
      <c r="E1008" s="45" t="s">
        <v>13</v>
      </c>
      <c r="F1008" s="288">
        <f>F1009+F1011+F1013</f>
        <v>1250</v>
      </c>
      <c r="G1008" s="12"/>
      <c r="H1008" s="13"/>
    </row>
    <row r="1009" spans="1:8" ht="34.5" customHeight="1" x14ac:dyDescent="0.2">
      <c r="A1009" s="20" t="s">
        <v>82</v>
      </c>
      <c r="B1009" s="261" t="s">
        <v>542</v>
      </c>
      <c r="C1009" s="261" t="s">
        <v>388</v>
      </c>
      <c r="D1009" s="302" t="s">
        <v>949</v>
      </c>
      <c r="E1009" s="261"/>
      <c r="F1009" s="288">
        <f>F1010</f>
        <v>60</v>
      </c>
      <c r="G1009" s="12"/>
      <c r="H1009" s="13"/>
    </row>
    <row r="1010" spans="1:8" ht="31.5" customHeight="1" x14ac:dyDescent="0.2">
      <c r="A1010" s="14" t="s">
        <v>43</v>
      </c>
      <c r="B1010" s="261" t="s">
        <v>542</v>
      </c>
      <c r="C1010" s="261" t="s">
        <v>388</v>
      </c>
      <c r="D1010" s="302" t="s">
        <v>949</v>
      </c>
      <c r="E1010" s="261">
        <v>240</v>
      </c>
      <c r="F1010" s="288">
        <f>60</f>
        <v>60</v>
      </c>
      <c r="G1010" s="85"/>
      <c r="H1010" s="13"/>
    </row>
    <row r="1011" spans="1:8" ht="63" customHeight="1" x14ac:dyDescent="0.2">
      <c r="A1011" s="20" t="s">
        <v>611</v>
      </c>
      <c r="B1011" s="45" t="s">
        <v>542</v>
      </c>
      <c r="C1011" s="45" t="s">
        <v>388</v>
      </c>
      <c r="D1011" s="302" t="s">
        <v>612</v>
      </c>
      <c r="E1011" s="45"/>
      <c r="F1011" s="288">
        <f>F1012</f>
        <v>250</v>
      </c>
      <c r="G1011" s="12"/>
      <c r="H1011" s="13"/>
    </row>
    <row r="1012" spans="1:8" ht="15.75" customHeight="1" x14ac:dyDescent="0.2">
      <c r="A1012" s="20" t="s">
        <v>119</v>
      </c>
      <c r="B1012" s="45" t="s">
        <v>542</v>
      </c>
      <c r="C1012" s="45" t="s">
        <v>388</v>
      </c>
      <c r="D1012" s="302" t="s">
        <v>612</v>
      </c>
      <c r="E1012" s="45">
        <v>350</v>
      </c>
      <c r="F1012" s="288">
        <f>250</f>
        <v>250</v>
      </c>
      <c r="G1012" s="60"/>
      <c r="H1012" s="13"/>
    </row>
    <row r="1013" spans="1:8" ht="31.5" customHeight="1" x14ac:dyDescent="0.2">
      <c r="A1013" s="20" t="s">
        <v>613</v>
      </c>
      <c r="B1013" s="45" t="s">
        <v>542</v>
      </c>
      <c r="C1013" s="45" t="s">
        <v>388</v>
      </c>
      <c r="D1013" s="302" t="s">
        <v>614</v>
      </c>
      <c r="E1013" s="45"/>
      <c r="F1013" s="288">
        <f>F1014</f>
        <v>940</v>
      </c>
      <c r="G1013" s="30"/>
      <c r="H1013" s="13"/>
    </row>
    <row r="1014" spans="1:8" ht="15.75" customHeight="1" x14ac:dyDescent="0.2">
      <c r="A1014" s="20" t="s">
        <v>119</v>
      </c>
      <c r="B1014" s="261" t="s">
        <v>542</v>
      </c>
      <c r="C1014" s="261" t="s">
        <v>388</v>
      </c>
      <c r="D1014" s="302" t="s">
        <v>614</v>
      </c>
      <c r="E1014" s="261">
        <v>350</v>
      </c>
      <c r="F1014" s="288">
        <f>940</f>
        <v>940</v>
      </c>
      <c r="G1014" s="60"/>
      <c r="H1014" s="13"/>
    </row>
    <row r="1015" spans="1:8" ht="31.5" customHeight="1" x14ac:dyDescent="0.2">
      <c r="A1015" s="20" t="s">
        <v>615</v>
      </c>
      <c r="B1015" s="45" t="s">
        <v>542</v>
      </c>
      <c r="C1015" s="45" t="s">
        <v>388</v>
      </c>
      <c r="D1015" s="302" t="s">
        <v>616</v>
      </c>
      <c r="E1015" s="45" t="s">
        <v>13</v>
      </c>
      <c r="F1015" s="288">
        <f>F1016+F1018</f>
        <v>270</v>
      </c>
      <c r="G1015" s="12"/>
      <c r="H1015" s="13"/>
    </row>
    <row r="1016" spans="1:8" ht="63" customHeight="1" x14ac:dyDescent="0.2">
      <c r="A1016" s="20" t="s">
        <v>611</v>
      </c>
      <c r="B1016" s="45" t="s">
        <v>542</v>
      </c>
      <c r="C1016" s="45" t="s">
        <v>388</v>
      </c>
      <c r="D1016" s="302" t="s">
        <v>617</v>
      </c>
      <c r="E1016" s="45"/>
      <c r="F1016" s="288">
        <f>F1017</f>
        <v>30</v>
      </c>
      <c r="G1016" s="12"/>
      <c r="H1016" s="13"/>
    </row>
    <row r="1017" spans="1:8" ht="15.75" customHeight="1" x14ac:dyDescent="0.2">
      <c r="A1017" s="20" t="s">
        <v>119</v>
      </c>
      <c r="B1017" s="45" t="s">
        <v>542</v>
      </c>
      <c r="C1017" s="45" t="s">
        <v>388</v>
      </c>
      <c r="D1017" s="302" t="s">
        <v>617</v>
      </c>
      <c r="E1017" s="45">
        <v>350</v>
      </c>
      <c r="F1017" s="288">
        <f>30</f>
        <v>30</v>
      </c>
      <c r="G1017" s="60"/>
      <c r="H1017" s="13"/>
    </row>
    <row r="1018" spans="1:8" ht="31.5" customHeight="1" x14ac:dyDescent="0.2">
      <c r="A1018" s="20" t="s">
        <v>613</v>
      </c>
      <c r="B1018" s="45" t="s">
        <v>542</v>
      </c>
      <c r="C1018" s="45" t="s">
        <v>388</v>
      </c>
      <c r="D1018" s="302" t="s">
        <v>798</v>
      </c>
      <c r="E1018" s="45"/>
      <c r="F1018" s="288">
        <f>F1019</f>
        <v>240</v>
      </c>
      <c r="G1018" s="86"/>
      <c r="H1018" s="13"/>
    </row>
    <row r="1019" spans="1:8" ht="15.75" customHeight="1" x14ac:dyDescent="0.2">
      <c r="A1019" s="20" t="s">
        <v>119</v>
      </c>
      <c r="B1019" s="45" t="s">
        <v>542</v>
      </c>
      <c r="C1019" s="45" t="s">
        <v>388</v>
      </c>
      <c r="D1019" s="302" t="s">
        <v>798</v>
      </c>
      <c r="E1019" s="45">
        <v>350</v>
      </c>
      <c r="F1019" s="288">
        <f>240</f>
        <v>240</v>
      </c>
      <c r="G1019" s="60"/>
      <c r="H1019" s="13"/>
    </row>
    <row r="1020" spans="1:8" ht="30.75" customHeight="1" x14ac:dyDescent="0.2">
      <c r="A1020" s="20" t="s">
        <v>456</v>
      </c>
      <c r="B1020" s="45" t="s">
        <v>542</v>
      </c>
      <c r="C1020" s="45" t="s">
        <v>388</v>
      </c>
      <c r="D1020" s="302" t="s">
        <v>457</v>
      </c>
      <c r="E1020" s="45"/>
      <c r="F1020" s="288">
        <f>F1021+F1024</f>
        <v>1131.9000000000001</v>
      </c>
      <c r="G1020" s="86"/>
      <c r="H1020" s="13"/>
    </row>
    <row r="1021" spans="1:8" ht="54" customHeight="1" x14ac:dyDescent="0.2">
      <c r="A1021" s="20" t="s">
        <v>891</v>
      </c>
      <c r="B1021" s="45" t="s">
        <v>542</v>
      </c>
      <c r="C1021" s="45" t="s">
        <v>388</v>
      </c>
      <c r="D1021" s="302" t="s">
        <v>892</v>
      </c>
      <c r="E1021" s="45"/>
      <c r="F1021" s="288">
        <f>F1022</f>
        <v>1080</v>
      </c>
      <c r="G1021" s="86"/>
      <c r="H1021" s="13"/>
    </row>
    <row r="1022" spans="1:8" ht="35.25" customHeight="1" x14ac:dyDescent="0.2">
      <c r="A1022" s="20" t="s">
        <v>40</v>
      </c>
      <c r="B1022" s="45" t="s">
        <v>542</v>
      </c>
      <c r="C1022" s="45" t="s">
        <v>388</v>
      </c>
      <c r="D1022" s="302" t="s">
        <v>894</v>
      </c>
      <c r="E1022" s="261"/>
      <c r="F1022" s="288">
        <f>F1023</f>
        <v>1080</v>
      </c>
      <c r="G1022" s="68"/>
      <c r="H1022" s="13"/>
    </row>
    <row r="1023" spans="1:8" ht="24" customHeight="1" x14ac:dyDescent="0.2">
      <c r="A1023" s="20" t="s">
        <v>997</v>
      </c>
      <c r="B1023" s="45" t="s">
        <v>542</v>
      </c>
      <c r="C1023" s="45" t="s">
        <v>388</v>
      </c>
      <c r="D1023" s="302" t="s">
        <v>894</v>
      </c>
      <c r="E1023" s="21">
        <v>620</v>
      </c>
      <c r="F1023" s="288">
        <f>1080</f>
        <v>1080</v>
      </c>
      <c r="G1023" s="68"/>
      <c r="H1023" s="13"/>
    </row>
    <row r="1024" spans="1:8" ht="24" customHeight="1" x14ac:dyDescent="0.2">
      <c r="A1024" s="20" t="s">
        <v>800</v>
      </c>
      <c r="B1024" s="45" t="s">
        <v>542</v>
      </c>
      <c r="C1024" s="45" t="s">
        <v>388</v>
      </c>
      <c r="D1024" s="302" t="s">
        <v>802</v>
      </c>
      <c r="E1024" s="45"/>
      <c r="F1024" s="288">
        <f>F1025</f>
        <v>51.9</v>
      </c>
      <c r="G1024" s="68"/>
      <c r="H1024" s="13"/>
    </row>
    <row r="1025" spans="1:8" ht="35.25" customHeight="1" x14ac:dyDescent="0.2">
      <c r="A1025" s="20" t="s">
        <v>82</v>
      </c>
      <c r="B1025" s="45" t="s">
        <v>542</v>
      </c>
      <c r="C1025" s="45" t="s">
        <v>388</v>
      </c>
      <c r="D1025" s="302" t="s">
        <v>893</v>
      </c>
      <c r="E1025" s="45"/>
      <c r="F1025" s="288">
        <f>F1026</f>
        <v>51.9</v>
      </c>
      <c r="G1025" s="68"/>
      <c r="H1025" s="13"/>
    </row>
    <row r="1026" spans="1:8" ht="35.25" customHeight="1" x14ac:dyDescent="0.2">
      <c r="A1026" s="14" t="s">
        <v>43</v>
      </c>
      <c r="B1026" s="45" t="s">
        <v>542</v>
      </c>
      <c r="C1026" s="45" t="s">
        <v>388</v>
      </c>
      <c r="D1026" s="302" t="s">
        <v>893</v>
      </c>
      <c r="E1026" s="45">
        <v>240</v>
      </c>
      <c r="F1026" s="288">
        <f>51.9</f>
        <v>51.9</v>
      </c>
      <c r="G1026" s="68"/>
      <c r="H1026" s="13"/>
    </row>
    <row r="1027" spans="1:8" ht="15.75" customHeight="1" x14ac:dyDescent="0.2">
      <c r="A1027" s="20" t="s">
        <v>567</v>
      </c>
      <c r="B1027" s="45" t="s">
        <v>542</v>
      </c>
      <c r="C1027" s="45" t="s">
        <v>388</v>
      </c>
      <c r="D1027" s="302" t="s">
        <v>568</v>
      </c>
      <c r="E1027" s="45" t="s">
        <v>13</v>
      </c>
      <c r="F1027" s="288">
        <f>F1028+F1035</f>
        <v>2782.8</v>
      </c>
      <c r="G1027" s="12"/>
      <c r="H1027" s="13"/>
    </row>
    <row r="1028" spans="1:8" ht="31.5" customHeight="1" x14ac:dyDescent="0.2">
      <c r="A1028" s="20" t="s">
        <v>591</v>
      </c>
      <c r="B1028" s="45" t="s">
        <v>542</v>
      </c>
      <c r="C1028" s="45" t="s">
        <v>388</v>
      </c>
      <c r="D1028" s="302" t="s">
        <v>592</v>
      </c>
      <c r="E1028" s="45" t="s">
        <v>13</v>
      </c>
      <c r="F1028" s="288">
        <f>F1031+F1033+F1029</f>
        <v>1040</v>
      </c>
      <c r="G1028" s="12"/>
      <c r="H1028" s="13"/>
    </row>
    <row r="1029" spans="1:8" ht="31.5" customHeight="1" x14ac:dyDescent="0.2">
      <c r="A1029" s="97" t="s">
        <v>40</v>
      </c>
      <c r="B1029" s="45" t="s">
        <v>542</v>
      </c>
      <c r="C1029" s="45" t="s">
        <v>388</v>
      </c>
      <c r="D1029" s="302" t="s">
        <v>964</v>
      </c>
      <c r="E1029" s="45"/>
      <c r="F1029" s="288">
        <f>F1030</f>
        <v>540</v>
      </c>
      <c r="G1029" s="12"/>
      <c r="H1029" s="13"/>
    </row>
    <row r="1030" spans="1:8" ht="23.25" customHeight="1" x14ac:dyDescent="0.2">
      <c r="A1030" s="20" t="s">
        <v>997</v>
      </c>
      <c r="B1030" s="45" t="s">
        <v>542</v>
      </c>
      <c r="C1030" s="45" t="s">
        <v>388</v>
      </c>
      <c r="D1030" s="302" t="s">
        <v>964</v>
      </c>
      <c r="E1030" s="21">
        <v>620</v>
      </c>
      <c r="F1030" s="288">
        <f>540</f>
        <v>540</v>
      </c>
      <c r="G1030" s="66"/>
      <c r="H1030" s="13"/>
    </row>
    <row r="1031" spans="1:8" ht="63" customHeight="1" x14ac:dyDescent="0.2">
      <c r="A1031" s="20" t="s">
        <v>611</v>
      </c>
      <c r="B1031" s="45" t="s">
        <v>542</v>
      </c>
      <c r="C1031" s="45" t="s">
        <v>388</v>
      </c>
      <c r="D1031" s="302" t="s">
        <v>619</v>
      </c>
      <c r="E1031" s="45"/>
      <c r="F1031" s="288">
        <f>F1032</f>
        <v>300</v>
      </c>
      <c r="G1031" s="12"/>
      <c r="H1031" s="13"/>
    </row>
    <row r="1032" spans="1:8" ht="15.75" customHeight="1" x14ac:dyDescent="0.2">
      <c r="A1032" s="20" t="s">
        <v>119</v>
      </c>
      <c r="B1032" s="45" t="s">
        <v>542</v>
      </c>
      <c r="C1032" s="45" t="s">
        <v>388</v>
      </c>
      <c r="D1032" s="302" t="s">
        <v>619</v>
      </c>
      <c r="E1032" s="45">
        <v>350</v>
      </c>
      <c r="F1032" s="288">
        <f>300</f>
        <v>300</v>
      </c>
      <c r="G1032" s="60"/>
      <c r="H1032" s="13"/>
    </row>
    <row r="1033" spans="1:8" ht="31.5" customHeight="1" x14ac:dyDescent="0.2">
      <c r="A1033" s="20" t="s">
        <v>613</v>
      </c>
      <c r="B1033" s="45" t="s">
        <v>542</v>
      </c>
      <c r="C1033" s="45" t="s">
        <v>388</v>
      </c>
      <c r="D1033" s="302" t="s">
        <v>799</v>
      </c>
      <c r="E1033" s="45"/>
      <c r="F1033" s="288">
        <f>F1034</f>
        <v>200</v>
      </c>
      <c r="G1033" s="86"/>
      <c r="H1033" s="13"/>
    </row>
    <row r="1034" spans="1:8" ht="15.75" customHeight="1" x14ac:dyDescent="0.2">
      <c r="A1034" s="20" t="s">
        <v>119</v>
      </c>
      <c r="B1034" s="45" t="s">
        <v>542</v>
      </c>
      <c r="C1034" s="45" t="s">
        <v>388</v>
      </c>
      <c r="D1034" s="302" t="s">
        <v>799</v>
      </c>
      <c r="E1034" s="45">
        <v>350</v>
      </c>
      <c r="F1034" s="288">
        <f>200</f>
        <v>200</v>
      </c>
      <c r="G1034" s="60"/>
      <c r="H1034" s="13"/>
    </row>
    <row r="1035" spans="1:8" ht="31.5" customHeight="1" x14ac:dyDescent="0.2">
      <c r="A1035" s="20" t="s">
        <v>620</v>
      </c>
      <c r="B1035" s="45" t="s">
        <v>542</v>
      </c>
      <c r="C1035" s="45" t="s">
        <v>388</v>
      </c>
      <c r="D1035" s="302" t="s">
        <v>621</v>
      </c>
      <c r="E1035" s="45" t="s">
        <v>13</v>
      </c>
      <c r="F1035" s="288">
        <f>F1036</f>
        <v>1742.8</v>
      </c>
      <c r="G1035" s="12"/>
      <c r="H1035" s="13"/>
    </row>
    <row r="1036" spans="1:8" ht="31.5" customHeight="1" x14ac:dyDescent="0.2">
      <c r="A1036" s="20" t="s">
        <v>82</v>
      </c>
      <c r="B1036" s="45" t="s">
        <v>542</v>
      </c>
      <c r="C1036" s="45" t="s">
        <v>388</v>
      </c>
      <c r="D1036" s="302" t="s">
        <v>622</v>
      </c>
      <c r="E1036" s="45"/>
      <c r="F1036" s="288">
        <f>F1037</f>
        <v>1742.8</v>
      </c>
      <c r="G1036" s="12"/>
      <c r="H1036" s="13"/>
    </row>
    <row r="1037" spans="1:8" ht="15.75" customHeight="1" x14ac:dyDescent="0.2">
      <c r="A1037" s="20" t="s">
        <v>269</v>
      </c>
      <c r="B1037" s="45" t="s">
        <v>542</v>
      </c>
      <c r="C1037" s="45" t="s">
        <v>388</v>
      </c>
      <c r="D1037" s="302" t="s">
        <v>622</v>
      </c>
      <c r="E1037" s="45">
        <v>360</v>
      </c>
      <c r="F1037" s="288">
        <f>1742.8</f>
        <v>1742.8</v>
      </c>
      <c r="G1037" s="72"/>
      <c r="H1037" s="13"/>
    </row>
    <row r="1038" spans="1:8" ht="15.75" customHeight="1" x14ac:dyDescent="0.2">
      <c r="A1038" s="91" t="s">
        <v>573</v>
      </c>
      <c r="B1038" s="45" t="s">
        <v>542</v>
      </c>
      <c r="C1038" s="45" t="s">
        <v>388</v>
      </c>
      <c r="D1038" s="326" t="s">
        <v>574</v>
      </c>
      <c r="E1038" s="281"/>
      <c r="F1038" s="288">
        <f>F1039</f>
        <v>100</v>
      </c>
      <c r="G1038" s="72"/>
      <c r="H1038" s="13"/>
    </row>
    <row r="1039" spans="1:8" s="286" customFormat="1" ht="64.5" customHeight="1" x14ac:dyDescent="0.2">
      <c r="A1039" s="20" t="s">
        <v>1074</v>
      </c>
      <c r="B1039" s="45" t="s">
        <v>542</v>
      </c>
      <c r="C1039" s="45" t="s">
        <v>388</v>
      </c>
      <c r="D1039" s="326" t="s">
        <v>982</v>
      </c>
      <c r="E1039" s="281"/>
      <c r="F1039" s="288">
        <f>F1040</f>
        <v>100</v>
      </c>
      <c r="G1039" s="284"/>
      <c r="H1039" s="285"/>
    </row>
    <row r="1040" spans="1:8" s="286" customFormat="1" ht="29.25" customHeight="1" x14ac:dyDescent="0.2">
      <c r="A1040" s="20" t="s">
        <v>82</v>
      </c>
      <c r="B1040" s="45" t="s">
        <v>542</v>
      </c>
      <c r="C1040" s="45" t="s">
        <v>388</v>
      </c>
      <c r="D1040" s="326" t="s">
        <v>983</v>
      </c>
      <c r="E1040" s="281"/>
      <c r="F1040" s="288">
        <f>F1041</f>
        <v>100</v>
      </c>
      <c r="G1040" s="284"/>
      <c r="H1040" s="285"/>
    </row>
    <row r="1041" spans="1:8" s="286" customFormat="1" ht="46.5" customHeight="1" x14ac:dyDescent="0.2">
      <c r="A1041" s="14" t="s">
        <v>43</v>
      </c>
      <c r="B1041" s="45" t="s">
        <v>542</v>
      </c>
      <c r="C1041" s="45" t="s">
        <v>388</v>
      </c>
      <c r="D1041" s="326" t="s">
        <v>983</v>
      </c>
      <c r="E1041" s="281" t="s">
        <v>719</v>
      </c>
      <c r="F1041" s="288">
        <f>100</f>
        <v>100</v>
      </c>
      <c r="G1041" s="284"/>
      <c r="H1041" s="285"/>
    </row>
    <row r="1042" spans="1:8" s="286" customFormat="1" ht="48" customHeight="1" x14ac:dyDescent="0.2">
      <c r="A1042" s="115" t="s">
        <v>906</v>
      </c>
      <c r="B1042" s="287" t="s">
        <v>542</v>
      </c>
      <c r="C1042" s="287" t="s">
        <v>388</v>
      </c>
      <c r="D1042" s="135" t="s">
        <v>903</v>
      </c>
      <c r="E1042" s="287" t="s">
        <v>13</v>
      </c>
      <c r="F1042" s="288">
        <f>F1043+F1048</f>
        <v>139168.19999999998</v>
      </c>
      <c r="G1042" s="289"/>
      <c r="H1042" s="285"/>
    </row>
    <row r="1043" spans="1:8" s="286" customFormat="1" ht="34.5" customHeight="1" x14ac:dyDescent="0.2">
      <c r="A1043" s="115" t="s">
        <v>937</v>
      </c>
      <c r="B1043" s="287" t="s">
        <v>542</v>
      </c>
      <c r="C1043" s="287" t="s">
        <v>388</v>
      </c>
      <c r="D1043" s="135" t="s">
        <v>904</v>
      </c>
      <c r="E1043" s="287" t="s">
        <v>13</v>
      </c>
      <c r="F1043" s="288">
        <f>F1044</f>
        <v>111097.9</v>
      </c>
      <c r="G1043" s="289"/>
      <c r="H1043" s="285"/>
    </row>
    <row r="1044" spans="1:8" s="286" customFormat="1" ht="33.75" customHeight="1" x14ac:dyDescent="0.2">
      <c r="A1044" s="115" t="s">
        <v>40</v>
      </c>
      <c r="B1044" s="287" t="s">
        <v>542</v>
      </c>
      <c r="C1044" s="287" t="s">
        <v>388</v>
      </c>
      <c r="D1044" s="135" t="s">
        <v>905</v>
      </c>
      <c r="E1044" s="287"/>
      <c r="F1044" s="288">
        <f>F1045+F1046+F1047</f>
        <v>111097.9</v>
      </c>
      <c r="G1044" s="289"/>
      <c r="H1044" s="285"/>
    </row>
    <row r="1045" spans="1:8" s="286" customFormat="1" ht="15.75" customHeight="1" x14ac:dyDescent="0.2">
      <c r="A1045" s="115" t="s">
        <v>42</v>
      </c>
      <c r="B1045" s="287" t="s">
        <v>542</v>
      </c>
      <c r="C1045" s="287" t="s">
        <v>388</v>
      </c>
      <c r="D1045" s="135" t="s">
        <v>905</v>
      </c>
      <c r="E1045" s="287">
        <v>110</v>
      </c>
      <c r="F1045" s="288">
        <f>105296.2+1615.3+400+1974.9</f>
        <v>109286.39999999999</v>
      </c>
      <c r="G1045" s="291"/>
      <c r="H1045" s="285"/>
    </row>
    <row r="1046" spans="1:8" s="286" customFormat="1" ht="49.5" customHeight="1" x14ac:dyDescent="0.2">
      <c r="A1046" s="14" t="s">
        <v>43</v>
      </c>
      <c r="B1046" s="287" t="s">
        <v>542</v>
      </c>
      <c r="C1046" s="287" t="s">
        <v>388</v>
      </c>
      <c r="D1046" s="135" t="s">
        <v>905</v>
      </c>
      <c r="E1046" s="287">
        <v>240</v>
      </c>
      <c r="F1046" s="288">
        <f>1801.1</f>
        <v>1801.1</v>
      </c>
      <c r="G1046" s="291"/>
      <c r="H1046" s="285"/>
    </row>
    <row r="1047" spans="1:8" s="286" customFormat="1" ht="15.75" customHeight="1" x14ac:dyDescent="0.2">
      <c r="A1047" s="115" t="s">
        <v>44</v>
      </c>
      <c r="B1047" s="287" t="s">
        <v>542</v>
      </c>
      <c r="C1047" s="287" t="s">
        <v>388</v>
      </c>
      <c r="D1047" s="135" t="s">
        <v>905</v>
      </c>
      <c r="E1047" s="287">
        <v>850</v>
      </c>
      <c r="F1047" s="288">
        <f>10.4</f>
        <v>10.4</v>
      </c>
      <c r="G1047" s="290"/>
      <c r="H1047" s="285"/>
    </row>
    <row r="1048" spans="1:8" s="286" customFormat="1" ht="65.25" customHeight="1" x14ac:dyDescent="0.2">
      <c r="A1048" s="282" t="s">
        <v>618</v>
      </c>
      <c r="B1048" s="287" t="s">
        <v>542</v>
      </c>
      <c r="C1048" s="287" t="s">
        <v>388</v>
      </c>
      <c r="D1048" s="327" t="s">
        <v>984</v>
      </c>
      <c r="E1048" s="283"/>
      <c r="F1048" s="288">
        <f>F1049</f>
        <v>28070.299999999996</v>
      </c>
      <c r="G1048" s="290"/>
      <c r="H1048" s="285"/>
    </row>
    <row r="1049" spans="1:8" s="286" customFormat="1" ht="39.75" customHeight="1" x14ac:dyDescent="0.2">
      <c r="A1049" s="191" t="s">
        <v>40</v>
      </c>
      <c r="B1049" s="287" t="s">
        <v>542</v>
      </c>
      <c r="C1049" s="287" t="s">
        <v>388</v>
      </c>
      <c r="D1049" s="327" t="s">
        <v>985</v>
      </c>
      <c r="E1049" s="283"/>
      <c r="F1049" s="288">
        <f>F1050+F1051+F1052</f>
        <v>28070.299999999996</v>
      </c>
      <c r="G1049" s="290"/>
      <c r="H1049" s="285"/>
    </row>
    <row r="1050" spans="1:8" s="286" customFormat="1" ht="15.75" customHeight="1" x14ac:dyDescent="0.2">
      <c r="A1050" s="282" t="s">
        <v>42</v>
      </c>
      <c r="B1050" s="287" t="s">
        <v>542</v>
      </c>
      <c r="C1050" s="287" t="s">
        <v>388</v>
      </c>
      <c r="D1050" s="327" t="s">
        <v>985</v>
      </c>
      <c r="E1050" s="287">
        <v>110</v>
      </c>
      <c r="F1050" s="288">
        <f>24933.1+500.8</f>
        <v>25433.899999999998</v>
      </c>
      <c r="G1050" s="291"/>
      <c r="H1050" s="285"/>
    </row>
    <row r="1051" spans="1:8" s="286" customFormat="1" ht="39" customHeight="1" x14ac:dyDescent="0.2">
      <c r="A1051" s="14" t="s">
        <v>43</v>
      </c>
      <c r="B1051" s="287" t="s">
        <v>542</v>
      </c>
      <c r="C1051" s="287" t="s">
        <v>388</v>
      </c>
      <c r="D1051" s="327" t="s">
        <v>985</v>
      </c>
      <c r="E1051" s="287">
        <v>240</v>
      </c>
      <c r="F1051" s="288">
        <f>2620.7-64.6</f>
        <v>2556.1</v>
      </c>
      <c r="G1051" s="291"/>
      <c r="H1051" s="285"/>
    </row>
    <row r="1052" spans="1:8" s="286" customFormat="1" ht="15.75" customHeight="1" x14ac:dyDescent="0.2">
      <c r="A1052" s="115" t="s">
        <v>44</v>
      </c>
      <c r="B1052" s="287" t="s">
        <v>542</v>
      </c>
      <c r="C1052" s="287" t="s">
        <v>388</v>
      </c>
      <c r="D1052" s="327" t="s">
        <v>985</v>
      </c>
      <c r="E1052" s="287">
        <v>850</v>
      </c>
      <c r="F1052" s="288">
        <f>15.7+64.6</f>
        <v>80.3</v>
      </c>
      <c r="G1052" s="291"/>
      <c r="H1052" s="285"/>
    </row>
    <row r="1053" spans="1:8" ht="47.25" customHeight="1" x14ac:dyDescent="0.2">
      <c r="A1053" s="20" t="s">
        <v>75</v>
      </c>
      <c r="B1053" s="45" t="s">
        <v>542</v>
      </c>
      <c r="C1053" s="45" t="s">
        <v>388</v>
      </c>
      <c r="D1053" s="302" t="s">
        <v>76</v>
      </c>
      <c r="E1053" s="45" t="s">
        <v>13</v>
      </c>
      <c r="F1053" s="288">
        <f>F1054</f>
        <v>35</v>
      </c>
      <c r="G1053" s="66"/>
      <c r="H1053" s="13"/>
    </row>
    <row r="1054" spans="1:8" ht="15.75" customHeight="1" x14ac:dyDescent="0.2">
      <c r="A1054" s="20" t="s">
        <v>77</v>
      </c>
      <c r="B1054" s="45" t="s">
        <v>542</v>
      </c>
      <c r="C1054" s="45" t="s">
        <v>388</v>
      </c>
      <c r="D1054" s="302" t="s">
        <v>78</v>
      </c>
      <c r="E1054" s="45" t="s">
        <v>13</v>
      </c>
      <c r="F1054" s="288">
        <f>F1057+F1055</f>
        <v>35</v>
      </c>
      <c r="G1054" s="66"/>
      <c r="H1054" s="13"/>
    </row>
    <row r="1055" spans="1:8" ht="25.5" customHeight="1" x14ac:dyDescent="0.2">
      <c r="A1055" s="97" t="s">
        <v>47</v>
      </c>
      <c r="B1055" s="45" t="s">
        <v>542</v>
      </c>
      <c r="C1055" s="45" t="s">
        <v>388</v>
      </c>
      <c r="D1055" s="8" t="s">
        <v>79</v>
      </c>
      <c r="E1055" s="95"/>
      <c r="F1055" s="288">
        <f>F1056</f>
        <v>35</v>
      </c>
      <c r="G1055" s="66"/>
      <c r="H1055" s="13"/>
    </row>
    <row r="1056" spans="1:8" ht="33.75" customHeight="1" x14ac:dyDescent="0.2">
      <c r="A1056" s="97" t="s">
        <v>25</v>
      </c>
      <c r="B1056" s="45" t="s">
        <v>542</v>
      </c>
      <c r="C1056" s="45" t="s">
        <v>388</v>
      </c>
      <c r="D1056" s="8" t="s">
        <v>79</v>
      </c>
      <c r="E1056" s="95">
        <v>120</v>
      </c>
      <c r="F1056" s="288">
        <f>35</f>
        <v>35</v>
      </c>
      <c r="G1056" s="66"/>
      <c r="H1056" s="13"/>
    </row>
    <row r="1057" spans="1:8" ht="34.5" customHeight="1" x14ac:dyDescent="0.2">
      <c r="A1057" s="105" t="s">
        <v>80</v>
      </c>
      <c r="B1057" s="45" t="s">
        <v>542</v>
      </c>
      <c r="C1057" s="45" t="s">
        <v>388</v>
      </c>
      <c r="D1057" s="302" t="s">
        <v>81</v>
      </c>
      <c r="E1057" s="45"/>
      <c r="F1057" s="288">
        <f>F1058</f>
        <v>0</v>
      </c>
      <c r="G1057" s="109"/>
      <c r="H1057" s="13"/>
    </row>
    <row r="1058" spans="1:8" ht="32.25" customHeight="1" x14ac:dyDescent="0.2">
      <c r="A1058" s="14" t="s">
        <v>43</v>
      </c>
      <c r="B1058" s="45" t="s">
        <v>542</v>
      </c>
      <c r="C1058" s="45" t="s">
        <v>388</v>
      </c>
      <c r="D1058" s="302" t="s">
        <v>81</v>
      </c>
      <c r="E1058" s="45">
        <v>240</v>
      </c>
      <c r="F1058" s="288">
        <f>15-15</f>
        <v>0</v>
      </c>
      <c r="G1058" s="357"/>
      <c r="H1058" s="13"/>
    </row>
    <row r="1059" spans="1:8" ht="47.25" customHeight="1" x14ac:dyDescent="0.2">
      <c r="A1059" s="20" t="s">
        <v>85</v>
      </c>
      <c r="B1059" s="45" t="s">
        <v>542</v>
      </c>
      <c r="C1059" s="45" t="s">
        <v>388</v>
      </c>
      <c r="D1059" s="302" t="s">
        <v>86</v>
      </c>
      <c r="E1059" s="45" t="s">
        <v>13</v>
      </c>
      <c r="F1059" s="288">
        <f>F1060</f>
        <v>13000</v>
      </c>
      <c r="G1059" s="12"/>
      <c r="H1059" s="13"/>
    </row>
    <row r="1060" spans="1:8" ht="39" customHeight="1" x14ac:dyDescent="0.2">
      <c r="A1060" s="20" t="s">
        <v>274</v>
      </c>
      <c r="B1060" s="45" t="s">
        <v>542</v>
      </c>
      <c r="C1060" s="45" t="s">
        <v>388</v>
      </c>
      <c r="D1060" s="302" t="s">
        <v>275</v>
      </c>
      <c r="E1060" s="45" t="s">
        <v>13</v>
      </c>
      <c r="F1060" s="288">
        <f>F1061+F1063</f>
        <v>13000</v>
      </c>
      <c r="G1060" s="12"/>
      <c r="H1060" s="13"/>
    </row>
    <row r="1061" spans="1:8" ht="47.25" customHeight="1" x14ac:dyDescent="0.2">
      <c r="A1061" s="20" t="s">
        <v>623</v>
      </c>
      <c r="B1061" s="45" t="s">
        <v>542</v>
      </c>
      <c r="C1061" s="45" t="s">
        <v>388</v>
      </c>
      <c r="D1061" s="302" t="s">
        <v>624</v>
      </c>
      <c r="E1061" s="45"/>
      <c r="F1061" s="288">
        <f>F1062</f>
        <v>8000</v>
      </c>
      <c r="G1061" s="16"/>
      <c r="H1061" s="13"/>
    </row>
    <row r="1062" spans="1:8" ht="31.5" customHeight="1" x14ac:dyDescent="0.2">
      <c r="A1062" s="14" t="s">
        <v>206</v>
      </c>
      <c r="B1062" s="45" t="s">
        <v>542</v>
      </c>
      <c r="C1062" s="45" t="s">
        <v>388</v>
      </c>
      <c r="D1062" s="302" t="s">
        <v>624</v>
      </c>
      <c r="E1062" s="45">
        <v>810</v>
      </c>
      <c r="F1062" s="288">
        <f>8000</f>
        <v>8000</v>
      </c>
      <c r="G1062" s="120"/>
      <c r="H1062" s="13"/>
    </row>
    <row r="1063" spans="1:8" ht="63" customHeight="1" x14ac:dyDescent="0.2">
      <c r="A1063" s="20" t="s">
        <v>625</v>
      </c>
      <c r="B1063" s="45" t="s">
        <v>542</v>
      </c>
      <c r="C1063" s="45" t="s">
        <v>388</v>
      </c>
      <c r="D1063" s="302" t="s">
        <v>626</v>
      </c>
      <c r="E1063" s="45"/>
      <c r="F1063" s="288">
        <f>F1064</f>
        <v>5000</v>
      </c>
      <c r="G1063" s="16"/>
      <c r="H1063" s="13"/>
    </row>
    <row r="1064" spans="1:8" ht="31.5" customHeight="1" x14ac:dyDescent="0.2">
      <c r="A1064" s="14" t="s">
        <v>206</v>
      </c>
      <c r="B1064" s="45" t="s">
        <v>542</v>
      </c>
      <c r="C1064" s="45" t="s">
        <v>388</v>
      </c>
      <c r="D1064" s="302" t="s">
        <v>626</v>
      </c>
      <c r="E1064" s="45">
        <v>810</v>
      </c>
      <c r="F1064" s="288">
        <f>5000</f>
        <v>5000</v>
      </c>
      <c r="G1064" s="16"/>
      <c r="H1064" s="13"/>
    </row>
    <row r="1065" spans="1:8" ht="47.25" customHeight="1" x14ac:dyDescent="0.2">
      <c r="A1065" s="20" t="s">
        <v>172</v>
      </c>
      <c r="B1065" s="45" t="s">
        <v>542</v>
      </c>
      <c r="C1065" s="45" t="s">
        <v>388</v>
      </c>
      <c r="D1065" s="302" t="s">
        <v>173</v>
      </c>
      <c r="E1065" s="45" t="s">
        <v>13</v>
      </c>
      <c r="F1065" s="288">
        <f>F1066</f>
        <v>100</v>
      </c>
      <c r="G1065" s="12"/>
      <c r="H1065" s="13"/>
    </row>
    <row r="1066" spans="1:8" ht="47.25" customHeight="1" x14ac:dyDescent="0.2">
      <c r="A1066" s="20" t="s">
        <v>174</v>
      </c>
      <c r="B1066" s="45" t="s">
        <v>542</v>
      </c>
      <c r="C1066" s="45" t="s">
        <v>388</v>
      </c>
      <c r="D1066" s="302" t="s">
        <v>175</v>
      </c>
      <c r="E1066" s="45" t="s">
        <v>13</v>
      </c>
      <c r="F1066" s="288">
        <f>F1067</f>
        <v>100</v>
      </c>
      <c r="G1066" s="12"/>
      <c r="H1066" s="13"/>
    </row>
    <row r="1067" spans="1:8" ht="47.25" customHeight="1" x14ac:dyDescent="0.2">
      <c r="A1067" s="190" t="s">
        <v>869</v>
      </c>
      <c r="B1067" s="45" t="s">
        <v>542</v>
      </c>
      <c r="C1067" s="45" t="s">
        <v>388</v>
      </c>
      <c r="D1067" s="302" t="s">
        <v>870</v>
      </c>
      <c r="E1067" s="45"/>
      <c r="F1067" s="288">
        <f>F1068</f>
        <v>100</v>
      </c>
      <c r="G1067" s="12"/>
      <c r="H1067" s="13"/>
    </row>
    <row r="1068" spans="1:8" ht="39" customHeight="1" x14ac:dyDescent="0.2">
      <c r="A1068" s="20" t="s">
        <v>82</v>
      </c>
      <c r="B1068" s="45" t="s">
        <v>542</v>
      </c>
      <c r="C1068" s="45" t="s">
        <v>388</v>
      </c>
      <c r="D1068" s="302" t="s">
        <v>986</v>
      </c>
      <c r="E1068" s="45"/>
      <c r="F1068" s="288">
        <f>F1069</f>
        <v>100</v>
      </c>
      <c r="G1068" s="66"/>
      <c r="H1068" s="13"/>
    </row>
    <row r="1069" spans="1:8" ht="39.75" customHeight="1" x14ac:dyDescent="0.2">
      <c r="A1069" s="14" t="s">
        <v>43</v>
      </c>
      <c r="B1069" s="45" t="s">
        <v>542</v>
      </c>
      <c r="C1069" s="45" t="s">
        <v>388</v>
      </c>
      <c r="D1069" s="302" t="s">
        <v>986</v>
      </c>
      <c r="E1069" s="45">
        <v>240</v>
      </c>
      <c r="F1069" s="288">
        <f>100</f>
        <v>100</v>
      </c>
      <c r="G1069" s="66"/>
      <c r="H1069" s="13"/>
    </row>
    <row r="1070" spans="1:8" ht="63" customHeight="1" x14ac:dyDescent="0.2">
      <c r="A1070" s="20" t="s">
        <v>92</v>
      </c>
      <c r="B1070" s="45" t="s">
        <v>542</v>
      </c>
      <c r="C1070" s="45" t="s">
        <v>388</v>
      </c>
      <c r="D1070" s="302" t="s">
        <v>93</v>
      </c>
      <c r="E1070" s="45" t="s">
        <v>13</v>
      </c>
      <c r="F1070" s="288">
        <f>F1071+F1075+F1082</f>
        <v>200</v>
      </c>
      <c r="G1070" s="12"/>
      <c r="H1070" s="13"/>
    </row>
    <row r="1071" spans="1:8" ht="31.5" customHeight="1" x14ac:dyDescent="0.2">
      <c r="A1071" s="20" t="s">
        <v>627</v>
      </c>
      <c r="B1071" s="45" t="s">
        <v>542</v>
      </c>
      <c r="C1071" s="45" t="s">
        <v>388</v>
      </c>
      <c r="D1071" s="302" t="s">
        <v>178</v>
      </c>
      <c r="E1071" s="45" t="s">
        <v>13</v>
      </c>
      <c r="F1071" s="288">
        <f>F1072</f>
        <v>30</v>
      </c>
      <c r="G1071" s="12"/>
      <c r="H1071" s="13"/>
    </row>
    <row r="1072" spans="1:8" ht="31.5" customHeight="1" x14ac:dyDescent="0.2">
      <c r="A1072" s="20" t="s">
        <v>373</v>
      </c>
      <c r="B1072" s="45" t="s">
        <v>542</v>
      </c>
      <c r="C1072" s="45" t="s">
        <v>388</v>
      </c>
      <c r="D1072" s="302" t="s">
        <v>374</v>
      </c>
      <c r="E1072" s="45" t="s">
        <v>13</v>
      </c>
      <c r="F1072" s="288">
        <f>F1073</f>
        <v>30</v>
      </c>
      <c r="G1072" s="12"/>
      <c r="H1072" s="13"/>
    </row>
    <row r="1073" spans="1:8" ht="31.5" x14ac:dyDescent="0.2">
      <c r="A1073" s="14" t="s">
        <v>40</v>
      </c>
      <c r="B1073" s="303" t="s">
        <v>542</v>
      </c>
      <c r="C1073" s="303" t="s">
        <v>388</v>
      </c>
      <c r="D1073" s="135" t="s">
        <v>375</v>
      </c>
      <c r="E1073" s="303"/>
      <c r="F1073" s="288">
        <f>F1074</f>
        <v>30</v>
      </c>
      <c r="G1073" s="60"/>
      <c r="H1073" s="13"/>
    </row>
    <row r="1074" spans="1:8" x14ac:dyDescent="0.2">
      <c r="A1074" s="20" t="s">
        <v>997</v>
      </c>
      <c r="B1074" s="303" t="s">
        <v>542</v>
      </c>
      <c r="C1074" s="303" t="s">
        <v>388</v>
      </c>
      <c r="D1074" s="135" t="s">
        <v>375</v>
      </c>
      <c r="E1074" s="21">
        <v>620</v>
      </c>
      <c r="F1074" s="288">
        <f>30</f>
        <v>30</v>
      </c>
      <c r="G1074" s="86"/>
      <c r="H1074" s="13"/>
    </row>
    <row r="1075" spans="1:8" ht="47.25" customHeight="1" x14ac:dyDescent="0.2">
      <c r="A1075" s="20" t="s">
        <v>376</v>
      </c>
      <c r="B1075" s="45" t="s">
        <v>542</v>
      </c>
      <c r="C1075" s="45" t="s">
        <v>388</v>
      </c>
      <c r="D1075" s="302" t="s">
        <v>377</v>
      </c>
      <c r="E1075" s="45" t="s">
        <v>13</v>
      </c>
      <c r="F1075" s="288">
        <f>F1076+F1079</f>
        <v>130</v>
      </c>
      <c r="G1075" s="30"/>
      <c r="H1075" s="13"/>
    </row>
    <row r="1076" spans="1:8" ht="51.75" customHeight="1" x14ac:dyDescent="0.2">
      <c r="A1076" s="20" t="s">
        <v>518</v>
      </c>
      <c r="B1076" s="45" t="s">
        <v>542</v>
      </c>
      <c r="C1076" s="45" t="s">
        <v>388</v>
      </c>
      <c r="D1076" s="302" t="s">
        <v>519</v>
      </c>
      <c r="E1076" s="45" t="s">
        <v>13</v>
      </c>
      <c r="F1076" s="288">
        <f>F1077</f>
        <v>100</v>
      </c>
      <c r="G1076" s="30"/>
      <c r="H1076" s="13"/>
    </row>
    <row r="1077" spans="1:8" ht="38.25" customHeight="1" x14ac:dyDescent="0.2">
      <c r="A1077" s="14" t="s">
        <v>40</v>
      </c>
      <c r="B1077" s="303" t="s">
        <v>542</v>
      </c>
      <c r="C1077" s="303" t="s">
        <v>388</v>
      </c>
      <c r="D1077" s="135" t="s">
        <v>865</v>
      </c>
      <c r="E1077" s="303"/>
      <c r="F1077" s="288">
        <f>F1078</f>
        <v>100</v>
      </c>
      <c r="G1077" s="60"/>
      <c r="H1077" s="13"/>
    </row>
    <row r="1078" spans="1:8" x14ac:dyDescent="0.2">
      <c r="A1078" s="20" t="s">
        <v>997</v>
      </c>
      <c r="B1078" s="303" t="s">
        <v>542</v>
      </c>
      <c r="C1078" s="303" t="s">
        <v>388</v>
      </c>
      <c r="D1078" s="135" t="s">
        <v>865</v>
      </c>
      <c r="E1078" s="21">
        <v>620</v>
      </c>
      <c r="F1078" s="288">
        <f>100</f>
        <v>100</v>
      </c>
      <c r="G1078" s="86"/>
      <c r="H1078" s="13"/>
    </row>
    <row r="1079" spans="1:8" ht="31.5" customHeight="1" x14ac:dyDescent="0.2">
      <c r="A1079" s="20" t="s">
        <v>628</v>
      </c>
      <c r="B1079" s="45" t="s">
        <v>542</v>
      </c>
      <c r="C1079" s="45" t="s">
        <v>388</v>
      </c>
      <c r="D1079" s="302" t="s">
        <v>629</v>
      </c>
      <c r="E1079" s="45" t="s">
        <v>13</v>
      </c>
      <c r="F1079" s="288">
        <f>F1080</f>
        <v>30</v>
      </c>
      <c r="G1079" s="30"/>
      <c r="H1079" s="13"/>
    </row>
    <row r="1080" spans="1:8" ht="47.25" customHeight="1" x14ac:dyDescent="0.2">
      <c r="A1080" s="14" t="s">
        <v>40</v>
      </c>
      <c r="B1080" s="303" t="s">
        <v>542</v>
      </c>
      <c r="C1080" s="303" t="s">
        <v>388</v>
      </c>
      <c r="D1080" s="135" t="s">
        <v>631</v>
      </c>
      <c r="E1080" s="303"/>
      <c r="F1080" s="288">
        <f>F1081</f>
        <v>30</v>
      </c>
      <c r="G1080" s="60"/>
      <c r="H1080" s="13"/>
    </row>
    <row r="1081" spans="1:8" x14ac:dyDescent="0.2">
      <c r="A1081" s="20" t="s">
        <v>997</v>
      </c>
      <c r="B1081" s="303" t="s">
        <v>542</v>
      </c>
      <c r="C1081" s="303" t="s">
        <v>388</v>
      </c>
      <c r="D1081" s="135" t="s">
        <v>631</v>
      </c>
      <c r="E1081" s="21">
        <v>620</v>
      </c>
      <c r="F1081" s="288">
        <f>30</f>
        <v>30</v>
      </c>
      <c r="G1081" s="86"/>
      <c r="H1081" s="13"/>
    </row>
    <row r="1082" spans="1:8" ht="47.25" customHeight="1" x14ac:dyDescent="0.2">
      <c r="A1082" s="20" t="s">
        <v>184</v>
      </c>
      <c r="B1082" s="45" t="s">
        <v>542</v>
      </c>
      <c r="C1082" s="45" t="s">
        <v>388</v>
      </c>
      <c r="D1082" s="302" t="s">
        <v>185</v>
      </c>
      <c r="E1082" s="45" t="s">
        <v>13</v>
      </c>
      <c r="F1082" s="288">
        <f>F1083</f>
        <v>40</v>
      </c>
      <c r="G1082" s="12"/>
      <c r="H1082" s="13"/>
    </row>
    <row r="1083" spans="1:8" ht="31.5" customHeight="1" x14ac:dyDescent="0.2">
      <c r="A1083" s="20" t="s">
        <v>632</v>
      </c>
      <c r="B1083" s="45" t="s">
        <v>542</v>
      </c>
      <c r="C1083" s="45" t="s">
        <v>388</v>
      </c>
      <c r="D1083" s="302" t="s">
        <v>633</v>
      </c>
      <c r="E1083" s="45" t="s">
        <v>13</v>
      </c>
      <c r="F1083" s="288">
        <f>F1084</f>
        <v>40</v>
      </c>
      <c r="G1083" s="12"/>
      <c r="H1083" s="13"/>
    </row>
    <row r="1084" spans="1:8" ht="31.5" customHeight="1" x14ac:dyDescent="0.2">
      <c r="A1084" s="20" t="s">
        <v>40</v>
      </c>
      <c r="B1084" s="45" t="s">
        <v>542</v>
      </c>
      <c r="C1084" s="45" t="s">
        <v>388</v>
      </c>
      <c r="D1084" s="302" t="s">
        <v>634</v>
      </c>
      <c r="E1084" s="45"/>
      <c r="F1084" s="288">
        <f>F1085</f>
        <v>40</v>
      </c>
      <c r="G1084" s="60"/>
      <c r="H1084" s="13"/>
    </row>
    <row r="1085" spans="1:8" ht="15.75" customHeight="1" x14ac:dyDescent="0.2">
      <c r="A1085" s="20" t="s">
        <v>997</v>
      </c>
      <c r="B1085" s="45" t="s">
        <v>542</v>
      </c>
      <c r="C1085" s="45" t="s">
        <v>388</v>
      </c>
      <c r="D1085" s="302" t="s">
        <v>634</v>
      </c>
      <c r="E1085" s="21">
        <v>620</v>
      </c>
      <c r="F1085" s="288">
        <f>40</f>
        <v>40</v>
      </c>
      <c r="G1085" s="60"/>
      <c r="H1085" s="13"/>
    </row>
    <row r="1086" spans="1:8" ht="47.25" customHeight="1" x14ac:dyDescent="0.2">
      <c r="A1086" s="20" t="s">
        <v>311</v>
      </c>
      <c r="B1086" s="45" t="s">
        <v>542</v>
      </c>
      <c r="C1086" s="45" t="s">
        <v>388</v>
      </c>
      <c r="D1086" s="302" t="s">
        <v>312</v>
      </c>
      <c r="E1086" s="45" t="s">
        <v>13</v>
      </c>
      <c r="F1086" s="288">
        <f>F1087</f>
        <v>1500</v>
      </c>
      <c r="G1086" s="12"/>
      <c r="H1086" s="13"/>
    </row>
    <row r="1087" spans="1:8" ht="31.5" customHeight="1" x14ac:dyDescent="0.2">
      <c r="A1087" s="20" t="s">
        <v>987</v>
      </c>
      <c r="B1087" s="45" t="s">
        <v>542</v>
      </c>
      <c r="C1087" s="45" t="s">
        <v>388</v>
      </c>
      <c r="D1087" s="302" t="s">
        <v>988</v>
      </c>
      <c r="E1087" s="45" t="s">
        <v>13</v>
      </c>
      <c r="F1087" s="288">
        <f>F1088</f>
        <v>1500</v>
      </c>
      <c r="G1087" s="12"/>
      <c r="H1087" s="13"/>
    </row>
    <row r="1088" spans="1:8" ht="31.5" customHeight="1" x14ac:dyDescent="0.2">
      <c r="A1088" s="20" t="s">
        <v>40</v>
      </c>
      <c r="B1088" s="45" t="s">
        <v>542</v>
      </c>
      <c r="C1088" s="45" t="s">
        <v>388</v>
      </c>
      <c r="D1088" s="302" t="s">
        <v>989</v>
      </c>
      <c r="E1088" s="45"/>
      <c r="F1088" s="288">
        <f>F1089+F1090</f>
        <v>1500</v>
      </c>
      <c r="G1088" s="12"/>
      <c r="H1088" s="13"/>
    </row>
    <row r="1089" spans="1:8" ht="15.75" customHeight="1" x14ac:dyDescent="0.2">
      <c r="A1089" s="20" t="s">
        <v>998</v>
      </c>
      <c r="B1089" s="45" t="s">
        <v>542</v>
      </c>
      <c r="C1089" s="45" t="s">
        <v>388</v>
      </c>
      <c r="D1089" s="302" t="s">
        <v>989</v>
      </c>
      <c r="E1089" s="303">
        <v>610</v>
      </c>
      <c r="F1089" s="288">
        <f>1000</f>
        <v>1000</v>
      </c>
      <c r="G1089" s="70"/>
      <c r="H1089" s="13"/>
    </row>
    <row r="1090" spans="1:8" ht="15.75" customHeight="1" x14ac:dyDescent="0.2">
      <c r="A1090" s="20" t="s">
        <v>997</v>
      </c>
      <c r="B1090" s="45" t="s">
        <v>542</v>
      </c>
      <c r="C1090" s="45" t="s">
        <v>388</v>
      </c>
      <c r="D1090" s="302" t="s">
        <v>989</v>
      </c>
      <c r="E1090" s="21">
        <v>620</v>
      </c>
      <c r="F1090" s="288">
        <f>500</f>
        <v>500</v>
      </c>
      <c r="G1090" s="70"/>
      <c r="H1090" s="13"/>
    </row>
    <row r="1091" spans="1:8" ht="31.5" customHeight="1" x14ac:dyDescent="0.2">
      <c r="A1091" s="20" t="s">
        <v>323</v>
      </c>
      <c r="B1091" s="45" t="s">
        <v>542</v>
      </c>
      <c r="C1091" s="45" t="s">
        <v>388</v>
      </c>
      <c r="D1091" s="302" t="s">
        <v>324</v>
      </c>
      <c r="E1091" s="45" t="s">
        <v>13</v>
      </c>
      <c r="F1091" s="288">
        <f>F1092</f>
        <v>200</v>
      </c>
      <c r="G1091" s="12"/>
      <c r="H1091" s="13"/>
    </row>
    <row r="1092" spans="1:8" ht="15.75" customHeight="1" x14ac:dyDescent="0.2">
      <c r="A1092" s="20" t="s">
        <v>635</v>
      </c>
      <c r="B1092" s="45" t="s">
        <v>542</v>
      </c>
      <c r="C1092" s="45" t="s">
        <v>388</v>
      </c>
      <c r="D1092" s="302" t="s">
        <v>636</v>
      </c>
      <c r="E1092" s="45" t="s">
        <v>13</v>
      </c>
      <c r="F1092" s="288">
        <f>F1093</f>
        <v>200</v>
      </c>
      <c r="G1092" s="12"/>
      <c r="H1092" s="13"/>
    </row>
    <row r="1093" spans="1:8" ht="38.25" customHeight="1" x14ac:dyDescent="0.2">
      <c r="A1093" s="20" t="s">
        <v>40</v>
      </c>
      <c r="B1093" s="45" t="s">
        <v>542</v>
      </c>
      <c r="C1093" s="45" t="s">
        <v>388</v>
      </c>
      <c r="D1093" s="135" t="s">
        <v>744</v>
      </c>
      <c r="E1093" s="303"/>
      <c r="F1093" s="288">
        <f>F1094</f>
        <v>200</v>
      </c>
      <c r="G1093" s="31"/>
      <c r="H1093" s="13"/>
    </row>
    <row r="1094" spans="1:8" ht="19.5" customHeight="1" x14ac:dyDescent="0.2">
      <c r="A1094" s="20" t="s">
        <v>997</v>
      </c>
      <c r="B1094" s="45" t="s">
        <v>542</v>
      </c>
      <c r="C1094" s="45" t="s">
        <v>388</v>
      </c>
      <c r="D1094" s="135" t="s">
        <v>744</v>
      </c>
      <c r="E1094" s="21">
        <v>620</v>
      </c>
      <c r="F1094" s="288">
        <f>200</f>
        <v>200</v>
      </c>
      <c r="G1094" s="31"/>
      <c r="H1094" s="13"/>
    </row>
    <row r="1095" spans="1:8" ht="31.5" customHeight="1" x14ac:dyDescent="0.2">
      <c r="A1095" s="20" t="s">
        <v>18</v>
      </c>
      <c r="B1095" s="45" t="s">
        <v>542</v>
      </c>
      <c r="C1095" s="45" t="s">
        <v>388</v>
      </c>
      <c r="D1095" s="302" t="s">
        <v>19</v>
      </c>
      <c r="E1095" s="45" t="s">
        <v>13</v>
      </c>
      <c r="F1095" s="288">
        <f>F1096</f>
        <v>85565</v>
      </c>
      <c r="G1095" s="16"/>
      <c r="H1095" s="13"/>
    </row>
    <row r="1096" spans="1:8" ht="15.75" customHeight="1" x14ac:dyDescent="0.2">
      <c r="A1096" s="20" t="s">
        <v>62</v>
      </c>
      <c r="B1096" s="45" t="s">
        <v>542</v>
      </c>
      <c r="C1096" s="45" t="s">
        <v>388</v>
      </c>
      <c r="D1096" s="302" t="s">
        <v>63</v>
      </c>
      <c r="E1096" s="45"/>
      <c r="F1096" s="288">
        <f>F1097+F1100</f>
        <v>85565</v>
      </c>
      <c r="G1096" s="12"/>
      <c r="H1096" s="13"/>
    </row>
    <row r="1097" spans="1:8" ht="15.75" customHeight="1" x14ac:dyDescent="0.2">
      <c r="A1097" s="20" t="s">
        <v>29</v>
      </c>
      <c r="B1097" s="45" t="s">
        <v>542</v>
      </c>
      <c r="C1097" s="45" t="s">
        <v>388</v>
      </c>
      <c r="D1097" s="302" t="s">
        <v>64</v>
      </c>
      <c r="E1097" s="45"/>
      <c r="F1097" s="288">
        <f>F1098</f>
        <v>65530.6</v>
      </c>
      <c r="G1097" s="12"/>
      <c r="H1097" s="13"/>
    </row>
    <row r="1098" spans="1:8" ht="15.75" customHeight="1" x14ac:dyDescent="0.2">
      <c r="A1098" s="14" t="s">
        <v>773</v>
      </c>
      <c r="B1098" s="45" t="s">
        <v>542</v>
      </c>
      <c r="C1098" s="45" t="s">
        <v>388</v>
      </c>
      <c r="D1098" s="302" t="s">
        <v>65</v>
      </c>
      <c r="E1098" s="45"/>
      <c r="F1098" s="288">
        <f>F1099</f>
        <v>65530.6</v>
      </c>
      <c r="G1098" s="12"/>
      <c r="H1098" s="13"/>
    </row>
    <row r="1099" spans="1:8" ht="31.5" customHeight="1" x14ac:dyDescent="0.2">
      <c r="A1099" s="20" t="s">
        <v>25</v>
      </c>
      <c r="B1099" s="45" t="s">
        <v>542</v>
      </c>
      <c r="C1099" s="45" t="s">
        <v>388</v>
      </c>
      <c r="D1099" s="302" t="s">
        <v>65</v>
      </c>
      <c r="E1099" s="45">
        <v>120</v>
      </c>
      <c r="F1099" s="288">
        <f>64569.5+961.1</f>
        <v>65530.6</v>
      </c>
      <c r="G1099" s="68"/>
      <c r="H1099" s="13"/>
    </row>
    <row r="1100" spans="1:8" ht="15.75" customHeight="1" x14ac:dyDescent="0.2">
      <c r="A1100" s="20" t="s">
        <v>66</v>
      </c>
      <c r="B1100" s="45" t="s">
        <v>542</v>
      </c>
      <c r="C1100" s="45" t="s">
        <v>388</v>
      </c>
      <c r="D1100" s="302">
        <v>5520460000</v>
      </c>
      <c r="E1100" s="45"/>
      <c r="F1100" s="298">
        <f>F1101</f>
        <v>20034.399999999998</v>
      </c>
      <c r="G1100" s="12"/>
      <c r="H1100" s="13"/>
    </row>
    <row r="1101" spans="1:8" ht="31.5" customHeight="1" x14ac:dyDescent="0.2">
      <c r="A1101" s="20" t="s">
        <v>73</v>
      </c>
      <c r="B1101" s="45" t="s">
        <v>542</v>
      </c>
      <c r="C1101" s="45" t="s">
        <v>388</v>
      </c>
      <c r="D1101" s="302" t="s">
        <v>74</v>
      </c>
      <c r="E1101" s="45"/>
      <c r="F1101" s="298">
        <f>F1102+F1103+F1104</f>
        <v>20034.399999999998</v>
      </c>
      <c r="G1101" s="12"/>
      <c r="H1101" s="13"/>
    </row>
    <row r="1102" spans="1:8" ht="31.5" customHeight="1" x14ac:dyDescent="0.2">
      <c r="A1102" s="20" t="s">
        <v>25</v>
      </c>
      <c r="B1102" s="45" t="s">
        <v>542</v>
      </c>
      <c r="C1102" s="45" t="s">
        <v>388</v>
      </c>
      <c r="D1102" s="302" t="s">
        <v>74</v>
      </c>
      <c r="E1102" s="45">
        <v>120</v>
      </c>
      <c r="F1102" s="298">
        <v>16916.3</v>
      </c>
      <c r="G1102" s="31"/>
      <c r="H1102" s="13"/>
    </row>
    <row r="1103" spans="1:8" ht="47.25" customHeight="1" x14ac:dyDescent="0.2">
      <c r="A1103" s="14" t="s">
        <v>43</v>
      </c>
      <c r="B1103" s="45" t="s">
        <v>542</v>
      </c>
      <c r="C1103" s="45" t="s">
        <v>388</v>
      </c>
      <c r="D1103" s="302" t="s">
        <v>74</v>
      </c>
      <c r="E1103" s="45">
        <v>240</v>
      </c>
      <c r="F1103" s="298">
        <v>3106.1</v>
      </c>
      <c r="G1103" s="26"/>
      <c r="H1103" s="13"/>
    </row>
    <row r="1104" spans="1:8" ht="15.75" customHeight="1" x14ac:dyDescent="0.2">
      <c r="A1104" s="20" t="s">
        <v>44</v>
      </c>
      <c r="B1104" s="45" t="s">
        <v>542</v>
      </c>
      <c r="C1104" s="45" t="s">
        <v>388</v>
      </c>
      <c r="D1104" s="302" t="s">
        <v>74</v>
      </c>
      <c r="E1104" s="45">
        <v>850</v>
      </c>
      <c r="F1104" s="298">
        <v>12</v>
      </c>
      <c r="G1104" s="113"/>
      <c r="H1104" s="13"/>
    </row>
    <row r="1105" spans="1:8" ht="18.75" customHeight="1" x14ac:dyDescent="0.2">
      <c r="A1105" s="34" t="s">
        <v>396</v>
      </c>
      <c r="B1105" s="301" t="s">
        <v>542</v>
      </c>
      <c r="C1105" s="301" t="s">
        <v>397</v>
      </c>
      <c r="D1105" s="324" t="s">
        <v>13</v>
      </c>
      <c r="E1105" s="301" t="s">
        <v>13</v>
      </c>
      <c r="F1105" s="334">
        <f>F1106+F1140</f>
        <v>577958.70000000007</v>
      </c>
      <c r="G1105" s="25"/>
      <c r="H1105" s="13"/>
    </row>
    <row r="1106" spans="1:8" ht="15.75" customHeight="1" x14ac:dyDescent="0.2">
      <c r="A1106" s="20" t="s">
        <v>404</v>
      </c>
      <c r="B1106" s="45" t="s">
        <v>542</v>
      </c>
      <c r="C1106" s="45" t="s">
        <v>405</v>
      </c>
      <c r="D1106" s="302" t="s">
        <v>13</v>
      </c>
      <c r="E1106" s="45" t="s">
        <v>13</v>
      </c>
      <c r="F1106" s="288">
        <f>F1107</f>
        <v>256439.9</v>
      </c>
      <c r="G1106" s="12"/>
      <c r="H1106" s="13"/>
    </row>
    <row r="1107" spans="1:8" ht="31.5" customHeight="1" x14ac:dyDescent="0.2">
      <c r="A1107" s="20" t="s">
        <v>349</v>
      </c>
      <c r="B1107" s="45" t="s">
        <v>542</v>
      </c>
      <c r="C1107" s="45" t="s">
        <v>405</v>
      </c>
      <c r="D1107" s="302" t="s">
        <v>350</v>
      </c>
      <c r="E1107" s="45" t="s">
        <v>13</v>
      </c>
      <c r="F1107" s="288">
        <f>F1112+F1108+F1130</f>
        <v>256439.9</v>
      </c>
      <c r="G1107" s="12"/>
      <c r="H1107" s="13"/>
    </row>
    <row r="1108" spans="1:8" ht="31.5" customHeight="1" x14ac:dyDescent="0.2">
      <c r="A1108" s="20" t="s">
        <v>456</v>
      </c>
      <c r="B1108" s="45" t="s">
        <v>542</v>
      </c>
      <c r="C1108" s="45" t="s">
        <v>405</v>
      </c>
      <c r="D1108" s="302" t="s">
        <v>457</v>
      </c>
      <c r="E1108" s="45"/>
      <c r="F1108" s="288">
        <f>F1109</f>
        <v>69</v>
      </c>
      <c r="G1108" s="12"/>
      <c r="H1108" s="13"/>
    </row>
    <row r="1109" spans="1:8" ht="15.75" customHeight="1" x14ac:dyDescent="0.2">
      <c r="A1109" s="20" t="s">
        <v>800</v>
      </c>
      <c r="B1109" s="45" t="s">
        <v>542</v>
      </c>
      <c r="C1109" s="45" t="s">
        <v>405</v>
      </c>
      <c r="D1109" s="302" t="s">
        <v>802</v>
      </c>
      <c r="E1109" s="45"/>
      <c r="F1109" s="288">
        <f>F1110</f>
        <v>69</v>
      </c>
      <c r="G1109" s="12"/>
      <c r="H1109" s="13"/>
    </row>
    <row r="1110" spans="1:8" ht="31.5" customHeight="1" x14ac:dyDescent="0.2">
      <c r="A1110" s="24" t="s">
        <v>801</v>
      </c>
      <c r="B1110" s="45" t="s">
        <v>542</v>
      </c>
      <c r="C1110" s="45" t="s">
        <v>405</v>
      </c>
      <c r="D1110" s="302" t="s">
        <v>803</v>
      </c>
      <c r="E1110" s="45"/>
      <c r="F1110" s="288">
        <f>F1111</f>
        <v>69</v>
      </c>
      <c r="H1110" s="13"/>
    </row>
    <row r="1111" spans="1:8" ht="15.75" customHeight="1" x14ac:dyDescent="0.2">
      <c r="A1111" s="20" t="s">
        <v>403</v>
      </c>
      <c r="B1111" s="45" t="s">
        <v>542</v>
      </c>
      <c r="C1111" s="45" t="s">
        <v>405</v>
      </c>
      <c r="D1111" s="302" t="s">
        <v>803</v>
      </c>
      <c r="E1111" s="45">
        <v>310</v>
      </c>
      <c r="F1111" s="288">
        <f>69</f>
        <v>69</v>
      </c>
      <c r="G1111" s="66"/>
      <c r="H1111" s="13"/>
    </row>
    <row r="1112" spans="1:8" ht="15.75" customHeight="1" x14ac:dyDescent="0.2">
      <c r="A1112" s="20" t="s">
        <v>567</v>
      </c>
      <c r="B1112" s="45" t="s">
        <v>542</v>
      </c>
      <c r="C1112" s="45" t="s">
        <v>405</v>
      </c>
      <c r="D1112" s="302" t="s">
        <v>568</v>
      </c>
      <c r="E1112" s="45" t="s">
        <v>13</v>
      </c>
      <c r="F1112" s="288">
        <f>F1113</f>
        <v>15483.099999999999</v>
      </c>
      <c r="G1112" s="12"/>
      <c r="H1112" s="13"/>
    </row>
    <row r="1113" spans="1:8" ht="15.75" customHeight="1" x14ac:dyDescent="0.2">
      <c r="A1113" s="20" t="s">
        <v>638</v>
      </c>
      <c r="B1113" s="45" t="s">
        <v>542</v>
      </c>
      <c r="C1113" s="45" t="s">
        <v>405</v>
      </c>
      <c r="D1113" s="302" t="s">
        <v>570</v>
      </c>
      <c r="E1113" s="45" t="s">
        <v>13</v>
      </c>
      <c r="F1113" s="288">
        <f>F1114+F1116+F1119+F1123+F1127</f>
        <v>15483.099999999999</v>
      </c>
      <c r="G1113" s="12"/>
      <c r="H1113" s="13"/>
    </row>
    <row r="1114" spans="1:8" ht="15.75" customHeight="1" x14ac:dyDescent="0.2">
      <c r="A1114" s="20" t="s">
        <v>639</v>
      </c>
      <c r="B1114" s="45" t="s">
        <v>542</v>
      </c>
      <c r="C1114" s="45" t="s">
        <v>405</v>
      </c>
      <c r="D1114" s="302" t="s">
        <v>640</v>
      </c>
      <c r="E1114" s="45"/>
      <c r="F1114" s="288">
        <f>F1115</f>
        <v>103</v>
      </c>
      <c r="G1114" s="12"/>
      <c r="H1114" s="13"/>
    </row>
    <row r="1115" spans="1:8" ht="15.75" customHeight="1" x14ac:dyDescent="0.2">
      <c r="A1115" s="20" t="s">
        <v>403</v>
      </c>
      <c r="B1115" s="45" t="s">
        <v>542</v>
      </c>
      <c r="C1115" s="45" t="s">
        <v>405</v>
      </c>
      <c r="D1115" s="302" t="s">
        <v>640</v>
      </c>
      <c r="E1115" s="45">
        <v>310</v>
      </c>
      <c r="F1115" s="288">
        <f>103</f>
        <v>103</v>
      </c>
      <c r="G1115" s="72"/>
      <c r="H1115" s="13"/>
    </row>
    <row r="1116" spans="1:8" ht="63" customHeight="1" x14ac:dyDescent="0.2">
      <c r="A1116" s="20" t="s">
        <v>641</v>
      </c>
      <c r="B1116" s="45" t="s">
        <v>542</v>
      </c>
      <c r="C1116" s="45" t="s">
        <v>405</v>
      </c>
      <c r="D1116" s="302" t="s">
        <v>642</v>
      </c>
      <c r="E1116" s="45" t="s">
        <v>13</v>
      </c>
      <c r="F1116" s="298">
        <f>F1117+F1118</f>
        <v>1002.9</v>
      </c>
      <c r="G1116" s="12"/>
      <c r="H1116" s="13"/>
    </row>
    <row r="1117" spans="1:8" ht="15.75" customHeight="1" x14ac:dyDescent="0.2">
      <c r="A1117" s="20" t="s">
        <v>998</v>
      </c>
      <c r="B1117" s="45" t="s">
        <v>542</v>
      </c>
      <c r="C1117" s="45" t="s">
        <v>405</v>
      </c>
      <c r="D1117" s="302" t="s">
        <v>642</v>
      </c>
      <c r="E1117" s="303">
        <v>610</v>
      </c>
      <c r="F1117" s="298">
        <v>502.9</v>
      </c>
      <c r="G1117" s="52"/>
      <c r="H1117" s="13"/>
    </row>
    <row r="1118" spans="1:8" ht="15.75" customHeight="1" x14ac:dyDescent="0.2">
      <c r="A1118" s="20" t="s">
        <v>997</v>
      </c>
      <c r="B1118" s="45" t="s">
        <v>542</v>
      </c>
      <c r="C1118" s="45" t="s">
        <v>405</v>
      </c>
      <c r="D1118" s="302" t="s">
        <v>642</v>
      </c>
      <c r="E1118" s="21">
        <v>620</v>
      </c>
      <c r="F1118" s="298">
        <v>500</v>
      </c>
      <c r="G1118" s="52"/>
      <c r="H1118" s="13"/>
    </row>
    <row r="1119" spans="1:8" ht="47.25" customHeight="1" x14ac:dyDescent="0.2">
      <c r="A1119" s="20" t="s">
        <v>643</v>
      </c>
      <c r="B1119" s="45" t="s">
        <v>542</v>
      </c>
      <c r="C1119" s="45" t="s">
        <v>405</v>
      </c>
      <c r="D1119" s="302" t="s">
        <v>644</v>
      </c>
      <c r="E1119" s="45"/>
      <c r="F1119" s="298">
        <f>F1121+F1122+F1120</f>
        <v>5034.6000000000004</v>
      </c>
      <c r="G1119" s="31"/>
      <c r="H1119" s="13"/>
    </row>
    <row r="1120" spans="1:8" ht="31.5" customHeight="1" x14ac:dyDescent="0.2">
      <c r="A1120" s="20" t="s">
        <v>289</v>
      </c>
      <c r="B1120" s="45" t="s">
        <v>542</v>
      </c>
      <c r="C1120" s="45" t="s">
        <v>405</v>
      </c>
      <c r="D1120" s="302" t="s">
        <v>644</v>
      </c>
      <c r="E1120" s="45">
        <v>320</v>
      </c>
      <c r="F1120" s="288">
        <v>174.5</v>
      </c>
      <c r="G1120" s="31"/>
      <c r="H1120" s="13"/>
    </row>
    <row r="1121" spans="1:8" ht="15.75" customHeight="1" x14ac:dyDescent="0.2">
      <c r="A1121" s="20" t="s">
        <v>998</v>
      </c>
      <c r="B1121" s="45" t="s">
        <v>542</v>
      </c>
      <c r="C1121" s="45" t="s">
        <v>405</v>
      </c>
      <c r="D1121" s="302" t="s">
        <v>644</v>
      </c>
      <c r="E1121" s="303">
        <v>610</v>
      </c>
      <c r="F1121" s="288">
        <v>1075</v>
      </c>
      <c r="G1121" s="52"/>
      <c r="H1121" s="13"/>
    </row>
    <row r="1122" spans="1:8" ht="15.75" customHeight="1" x14ac:dyDescent="0.2">
      <c r="A1122" s="20" t="s">
        <v>997</v>
      </c>
      <c r="B1122" s="45" t="s">
        <v>542</v>
      </c>
      <c r="C1122" s="45" t="s">
        <v>405</v>
      </c>
      <c r="D1122" s="302" t="s">
        <v>644</v>
      </c>
      <c r="E1122" s="21">
        <v>620</v>
      </c>
      <c r="F1122" s="288">
        <v>3785.1</v>
      </c>
      <c r="G1122" s="52"/>
      <c r="H1122" s="13"/>
    </row>
    <row r="1123" spans="1:8" ht="47.25" customHeight="1" x14ac:dyDescent="0.2">
      <c r="A1123" s="20" t="s">
        <v>645</v>
      </c>
      <c r="B1123" s="45" t="s">
        <v>542</v>
      </c>
      <c r="C1123" s="45" t="s">
        <v>405</v>
      </c>
      <c r="D1123" s="302" t="s">
        <v>646</v>
      </c>
      <c r="E1123" s="45"/>
      <c r="F1123" s="298">
        <f>F1124+F1125+F1126</f>
        <v>2826.9</v>
      </c>
      <c r="G1123" s="26"/>
      <c r="H1123" s="13"/>
    </row>
    <row r="1124" spans="1:8" ht="31.5" customHeight="1" x14ac:dyDescent="0.2">
      <c r="A1124" s="20" t="s">
        <v>289</v>
      </c>
      <c r="B1124" s="45" t="s">
        <v>542</v>
      </c>
      <c r="C1124" s="45" t="s">
        <v>405</v>
      </c>
      <c r="D1124" s="302" t="s">
        <v>646</v>
      </c>
      <c r="E1124" s="45">
        <v>320</v>
      </c>
      <c r="F1124" s="298">
        <v>30.5</v>
      </c>
      <c r="G1124" s="26"/>
      <c r="H1124" s="13"/>
    </row>
    <row r="1125" spans="1:8" ht="15.75" customHeight="1" x14ac:dyDescent="0.2">
      <c r="A1125" s="20" t="s">
        <v>998</v>
      </c>
      <c r="B1125" s="45" t="s">
        <v>542</v>
      </c>
      <c r="C1125" s="45" t="s">
        <v>405</v>
      </c>
      <c r="D1125" s="302" t="s">
        <v>646</v>
      </c>
      <c r="E1125" s="303">
        <v>610</v>
      </c>
      <c r="F1125" s="298">
        <v>1400</v>
      </c>
      <c r="G1125" s="52"/>
      <c r="H1125" s="13"/>
    </row>
    <row r="1126" spans="1:8" ht="15.75" customHeight="1" x14ac:dyDescent="0.2">
      <c r="A1126" s="20" t="s">
        <v>997</v>
      </c>
      <c r="B1126" s="45" t="s">
        <v>542</v>
      </c>
      <c r="C1126" s="45" t="s">
        <v>405</v>
      </c>
      <c r="D1126" s="302" t="s">
        <v>646</v>
      </c>
      <c r="E1126" s="21">
        <v>620</v>
      </c>
      <c r="F1126" s="298">
        <v>1396.4</v>
      </c>
      <c r="G1126" s="52"/>
      <c r="H1126" s="13"/>
    </row>
    <row r="1127" spans="1:8" ht="63" customHeight="1" x14ac:dyDescent="0.2">
      <c r="A1127" s="20" t="s">
        <v>647</v>
      </c>
      <c r="B1127" s="45" t="s">
        <v>542</v>
      </c>
      <c r="C1127" s="45" t="s">
        <v>405</v>
      </c>
      <c r="D1127" s="302" t="s">
        <v>648</v>
      </c>
      <c r="E1127" s="45"/>
      <c r="F1127" s="298">
        <f>F1128+F1129</f>
        <v>6515.7</v>
      </c>
      <c r="G1127" s="12"/>
      <c r="H1127" s="13"/>
    </row>
    <row r="1128" spans="1:8" ht="15.75" customHeight="1" x14ac:dyDescent="0.2">
      <c r="A1128" s="20" t="s">
        <v>998</v>
      </c>
      <c r="B1128" s="45" t="s">
        <v>542</v>
      </c>
      <c r="C1128" s="45" t="s">
        <v>405</v>
      </c>
      <c r="D1128" s="302" t="s">
        <v>648</v>
      </c>
      <c r="E1128" s="303">
        <v>610</v>
      </c>
      <c r="F1128" s="298">
        <v>3613.1</v>
      </c>
      <c r="G1128" s="52"/>
      <c r="H1128" s="13"/>
    </row>
    <row r="1129" spans="1:8" ht="15.75" customHeight="1" x14ac:dyDescent="0.2">
      <c r="A1129" s="20" t="s">
        <v>997</v>
      </c>
      <c r="B1129" s="45" t="s">
        <v>542</v>
      </c>
      <c r="C1129" s="45" t="s">
        <v>405</v>
      </c>
      <c r="D1129" s="302" t="s">
        <v>648</v>
      </c>
      <c r="E1129" s="21">
        <v>620</v>
      </c>
      <c r="F1129" s="298">
        <v>2902.6</v>
      </c>
      <c r="G1129" s="52"/>
      <c r="H1129" s="13"/>
    </row>
    <row r="1130" spans="1:8" ht="15.75" customHeight="1" x14ac:dyDescent="0.2">
      <c r="A1130" s="20" t="s">
        <v>573</v>
      </c>
      <c r="B1130" s="45" t="s">
        <v>542</v>
      </c>
      <c r="C1130" s="45" t="s">
        <v>405</v>
      </c>
      <c r="D1130" s="302" t="s">
        <v>574</v>
      </c>
      <c r="E1130" s="21"/>
      <c r="F1130" s="298">
        <f>F1131</f>
        <v>240887.8</v>
      </c>
      <c r="G1130" s="52"/>
      <c r="H1130" s="13"/>
    </row>
    <row r="1131" spans="1:8" ht="31.5" customHeight="1" x14ac:dyDescent="0.2">
      <c r="A1131" s="20" t="s">
        <v>575</v>
      </c>
      <c r="B1131" s="45" t="s">
        <v>542</v>
      </c>
      <c r="C1131" s="45" t="s">
        <v>405</v>
      </c>
      <c r="D1131" s="302" t="s">
        <v>576</v>
      </c>
      <c r="E1131" s="45" t="s">
        <v>13</v>
      </c>
      <c r="F1131" s="288">
        <f>F1132+F1136</f>
        <v>240887.8</v>
      </c>
      <c r="G1131" s="12"/>
      <c r="H1131" s="13"/>
    </row>
    <row r="1132" spans="1:8" ht="31.5" customHeight="1" x14ac:dyDescent="0.2">
      <c r="A1132" s="20" t="s">
        <v>40</v>
      </c>
      <c r="B1132" s="45" t="s">
        <v>542</v>
      </c>
      <c r="C1132" s="45" t="s">
        <v>405</v>
      </c>
      <c r="D1132" s="302" t="s">
        <v>577</v>
      </c>
      <c r="E1132" s="45"/>
      <c r="F1132" s="288">
        <f>SUM(F1133:F1135)</f>
        <v>50000</v>
      </c>
      <c r="G1132" s="12"/>
      <c r="H1132" s="13"/>
    </row>
    <row r="1133" spans="1:8" ht="39" customHeight="1" x14ac:dyDescent="0.2">
      <c r="A1133" s="14" t="s">
        <v>43</v>
      </c>
      <c r="B1133" s="45" t="s">
        <v>542</v>
      </c>
      <c r="C1133" s="45" t="s">
        <v>405</v>
      </c>
      <c r="D1133" s="302" t="s">
        <v>577</v>
      </c>
      <c r="E1133" s="45">
        <v>240</v>
      </c>
      <c r="F1133" s="288">
        <f>36</f>
        <v>36</v>
      </c>
      <c r="G1133" s="80"/>
      <c r="H1133" s="13"/>
    </row>
    <row r="1134" spans="1:8" ht="15.75" customHeight="1" x14ac:dyDescent="0.2">
      <c r="A1134" s="20" t="s">
        <v>998</v>
      </c>
      <c r="B1134" s="45" t="s">
        <v>542</v>
      </c>
      <c r="C1134" s="45" t="s">
        <v>405</v>
      </c>
      <c r="D1134" s="302" t="s">
        <v>577</v>
      </c>
      <c r="E1134" s="45">
        <v>610</v>
      </c>
      <c r="F1134" s="288">
        <f>17848</f>
        <v>17848</v>
      </c>
      <c r="G1134" s="68"/>
      <c r="H1134" s="13"/>
    </row>
    <row r="1135" spans="1:8" ht="15.75" customHeight="1" x14ac:dyDescent="0.2">
      <c r="A1135" s="20" t="s">
        <v>997</v>
      </c>
      <c r="B1135" s="45" t="s">
        <v>542</v>
      </c>
      <c r="C1135" s="45" t="s">
        <v>405</v>
      </c>
      <c r="D1135" s="302" t="s">
        <v>577</v>
      </c>
      <c r="E1135" s="45">
        <v>620</v>
      </c>
      <c r="F1135" s="288">
        <f>32116</f>
        <v>32116</v>
      </c>
      <c r="G1135" s="68"/>
      <c r="H1135" s="13"/>
    </row>
    <row r="1136" spans="1:8" ht="73.5" customHeight="1" x14ac:dyDescent="0.2">
      <c r="A1136" s="48" t="s">
        <v>597</v>
      </c>
      <c r="B1136" s="45" t="s">
        <v>542</v>
      </c>
      <c r="C1136" s="45" t="s">
        <v>405</v>
      </c>
      <c r="D1136" s="302" t="s">
        <v>598</v>
      </c>
      <c r="E1136" s="261" t="s">
        <v>13</v>
      </c>
      <c r="F1136" s="298">
        <f>F1137+F1138+F1139</f>
        <v>190887.8</v>
      </c>
      <c r="G1136" s="52"/>
      <c r="H1136" s="13"/>
    </row>
    <row r="1137" spans="1:9" ht="15.75" customHeight="1" x14ac:dyDescent="0.2">
      <c r="A1137" s="20" t="s">
        <v>998</v>
      </c>
      <c r="B1137" s="45" t="s">
        <v>542</v>
      </c>
      <c r="C1137" s="45" t="s">
        <v>405</v>
      </c>
      <c r="D1137" s="302" t="s">
        <v>598</v>
      </c>
      <c r="E1137" s="261">
        <v>610</v>
      </c>
      <c r="F1137" s="298">
        <v>68916.5</v>
      </c>
      <c r="G1137" s="52"/>
      <c r="H1137" s="13"/>
    </row>
    <row r="1138" spans="1:9" ht="15.75" customHeight="1" x14ac:dyDescent="0.2">
      <c r="A1138" s="20" t="s">
        <v>997</v>
      </c>
      <c r="B1138" s="45" t="s">
        <v>542</v>
      </c>
      <c r="C1138" s="45" t="s">
        <v>405</v>
      </c>
      <c r="D1138" s="302" t="s">
        <v>598</v>
      </c>
      <c r="E1138" s="261">
        <v>620</v>
      </c>
      <c r="F1138" s="298">
        <v>121863.3</v>
      </c>
      <c r="G1138" s="321"/>
      <c r="H1138" s="13"/>
    </row>
    <row r="1139" spans="1:9" ht="15.75" customHeight="1" x14ac:dyDescent="0.2">
      <c r="A1139" s="14" t="s">
        <v>43</v>
      </c>
      <c r="B1139" s="45" t="s">
        <v>542</v>
      </c>
      <c r="C1139" s="45" t="s">
        <v>405</v>
      </c>
      <c r="D1139" s="302" t="s">
        <v>598</v>
      </c>
      <c r="E1139" s="261">
        <v>240</v>
      </c>
      <c r="F1139" s="298">
        <v>108</v>
      </c>
      <c r="G1139" s="52"/>
      <c r="H1139" s="13"/>
    </row>
    <row r="1140" spans="1:9" ht="15.75" customHeight="1" x14ac:dyDescent="0.2">
      <c r="A1140" s="20" t="s">
        <v>454</v>
      </c>
      <c r="B1140" s="45" t="s">
        <v>542</v>
      </c>
      <c r="C1140" s="45" t="s">
        <v>455</v>
      </c>
      <c r="D1140" s="302" t="s">
        <v>13</v>
      </c>
      <c r="E1140" s="45" t="s">
        <v>13</v>
      </c>
      <c r="F1140" s="298">
        <f>F1141</f>
        <v>321518.80000000005</v>
      </c>
      <c r="G1140" s="12"/>
      <c r="H1140" s="13"/>
    </row>
    <row r="1141" spans="1:9" ht="31.5" customHeight="1" x14ac:dyDescent="0.2">
      <c r="A1141" s="20" t="s">
        <v>349</v>
      </c>
      <c r="B1141" s="45" t="s">
        <v>542</v>
      </c>
      <c r="C1141" s="45" t="s">
        <v>455</v>
      </c>
      <c r="D1141" s="302" t="s">
        <v>350</v>
      </c>
      <c r="E1141" s="45" t="s">
        <v>13</v>
      </c>
      <c r="F1141" s="298">
        <f>F1142+F1147</f>
        <v>321518.80000000005</v>
      </c>
      <c r="G1141" s="12"/>
      <c r="H1141" s="13"/>
    </row>
    <row r="1142" spans="1:9" ht="31.5" customHeight="1" x14ac:dyDescent="0.2">
      <c r="A1142" s="20" t="s">
        <v>456</v>
      </c>
      <c r="B1142" s="45" t="s">
        <v>542</v>
      </c>
      <c r="C1142" s="45" t="s">
        <v>455</v>
      </c>
      <c r="D1142" s="302" t="s">
        <v>457</v>
      </c>
      <c r="E1142" s="45" t="s">
        <v>13</v>
      </c>
      <c r="F1142" s="298">
        <f>F1143</f>
        <v>230752.90000000002</v>
      </c>
      <c r="G1142" s="12"/>
      <c r="H1142" s="13"/>
    </row>
    <row r="1143" spans="1:9" ht="15.75" customHeight="1" x14ac:dyDescent="0.2">
      <c r="A1143" s="20" t="s">
        <v>458</v>
      </c>
      <c r="B1143" s="45" t="s">
        <v>542</v>
      </c>
      <c r="C1143" s="45" t="s">
        <v>455</v>
      </c>
      <c r="D1143" s="302" t="s">
        <v>459</v>
      </c>
      <c r="E1143" s="45"/>
      <c r="F1143" s="298">
        <f>F1144</f>
        <v>230752.90000000002</v>
      </c>
      <c r="G1143" s="12"/>
      <c r="H1143" s="13"/>
    </row>
    <row r="1144" spans="1:9" ht="31.5" customHeight="1" x14ac:dyDescent="0.2">
      <c r="A1144" s="20" t="s">
        <v>73</v>
      </c>
      <c r="B1144" s="45" t="s">
        <v>542</v>
      </c>
      <c r="C1144" s="45" t="s">
        <v>455</v>
      </c>
      <c r="D1144" s="302" t="s">
        <v>460</v>
      </c>
      <c r="E1144" s="45" t="s">
        <v>13</v>
      </c>
      <c r="F1144" s="298">
        <f>SUM(F1145:F1146)</f>
        <v>230752.90000000002</v>
      </c>
      <c r="G1144" s="12"/>
      <c r="H1144" s="13"/>
    </row>
    <row r="1145" spans="1:9" ht="31.5" customHeight="1" x14ac:dyDescent="0.2">
      <c r="A1145" s="20" t="s">
        <v>289</v>
      </c>
      <c r="B1145" s="45" t="s">
        <v>542</v>
      </c>
      <c r="C1145" s="45" t="s">
        <v>455</v>
      </c>
      <c r="D1145" s="302" t="s">
        <v>460</v>
      </c>
      <c r="E1145" s="45">
        <v>320</v>
      </c>
      <c r="F1145" s="288">
        <f>800+2000+2021+72513.8</f>
        <v>77334.8</v>
      </c>
      <c r="G1145" s="52"/>
      <c r="H1145" s="13"/>
    </row>
    <row r="1146" spans="1:9" ht="15.75" customHeight="1" x14ac:dyDescent="0.2">
      <c r="A1146" s="20" t="s">
        <v>269</v>
      </c>
      <c r="B1146" s="45" t="s">
        <v>542</v>
      </c>
      <c r="C1146" s="45" t="s">
        <v>455</v>
      </c>
      <c r="D1146" s="302" t="s">
        <v>460</v>
      </c>
      <c r="E1146" s="45">
        <v>360</v>
      </c>
      <c r="F1146" s="288">
        <f>152918.1+500</f>
        <v>153418.1</v>
      </c>
      <c r="G1146" s="52"/>
      <c r="H1146" s="13"/>
    </row>
    <row r="1147" spans="1:9" ht="15.75" customHeight="1" x14ac:dyDescent="0.2">
      <c r="A1147" s="20" t="s">
        <v>573</v>
      </c>
      <c r="B1147" s="45" t="s">
        <v>542</v>
      </c>
      <c r="C1147" s="45" t="s">
        <v>455</v>
      </c>
      <c r="D1147" s="302" t="s">
        <v>574</v>
      </c>
      <c r="E1147" s="45" t="s">
        <v>13</v>
      </c>
      <c r="F1147" s="298">
        <f>F1148</f>
        <v>90765.9</v>
      </c>
      <c r="G1147" s="12"/>
      <c r="H1147" s="13"/>
    </row>
    <row r="1148" spans="1:9" ht="31.5" customHeight="1" x14ac:dyDescent="0.2">
      <c r="A1148" s="20" t="s">
        <v>575</v>
      </c>
      <c r="B1148" s="45" t="s">
        <v>542</v>
      </c>
      <c r="C1148" s="45" t="s">
        <v>455</v>
      </c>
      <c r="D1148" s="302" t="s">
        <v>576</v>
      </c>
      <c r="E1148" s="45"/>
      <c r="F1148" s="298">
        <f>F1149</f>
        <v>90765.9</v>
      </c>
      <c r="G1148" s="12"/>
      <c r="H1148" s="13"/>
    </row>
    <row r="1149" spans="1:9" s="154" customFormat="1" ht="63" customHeight="1" x14ac:dyDescent="0.2">
      <c r="A1149" s="20" t="s">
        <v>649</v>
      </c>
      <c r="B1149" s="45" t="s">
        <v>542</v>
      </c>
      <c r="C1149" s="45" t="s">
        <v>455</v>
      </c>
      <c r="D1149" s="302" t="s">
        <v>650</v>
      </c>
      <c r="E1149" s="45" t="s">
        <v>13</v>
      </c>
      <c r="F1149" s="298">
        <f>F1150+F1151</f>
        <v>90765.9</v>
      </c>
      <c r="G1149" s="138"/>
      <c r="H1149" s="153"/>
    </row>
    <row r="1150" spans="1:9" ht="15.75" customHeight="1" x14ac:dyDescent="0.2">
      <c r="A1150" s="20" t="s">
        <v>998</v>
      </c>
      <c r="B1150" s="45" t="s">
        <v>542</v>
      </c>
      <c r="C1150" s="45" t="s">
        <v>455</v>
      </c>
      <c r="D1150" s="302" t="s">
        <v>650</v>
      </c>
      <c r="E1150" s="303">
        <v>610</v>
      </c>
      <c r="F1150" s="298">
        <v>25358.5</v>
      </c>
      <c r="G1150" s="52"/>
      <c r="H1150" s="13"/>
    </row>
    <row r="1151" spans="1:9" ht="15.75" customHeight="1" x14ac:dyDescent="0.2">
      <c r="A1151" s="20" t="s">
        <v>997</v>
      </c>
      <c r="B1151" s="45" t="s">
        <v>542</v>
      </c>
      <c r="C1151" s="45" t="s">
        <v>455</v>
      </c>
      <c r="D1151" s="302" t="s">
        <v>650</v>
      </c>
      <c r="E1151" s="21">
        <v>620</v>
      </c>
      <c r="F1151" s="298">
        <v>65407.4</v>
      </c>
      <c r="G1151" s="52"/>
      <c r="H1151" s="13"/>
    </row>
    <row r="1152" spans="1:9" ht="30.75" customHeight="1" x14ac:dyDescent="0.2">
      <c r="A1152" s="102" t="s">
        <v>651</v>
      </c>
      <c r="B1152" s="103" t="s">
        <v>652</v>
      </c>
      <c r="C1152" s="103" t="s">
        <v>13</v>
      </c>
      <c r="D1152" s="246" t="s">
        <v>13</v>
      </c>
      <c r="E1152" s="103" t="s">
        <v>13</v>
      </c>
      <c r="F1152" s="307">
        <f>F1153+F1160+F1183+F1221+F1289+F1173</f>
        <v>1509319.4</v>
      </c>
      <c r="G1152" s="51"/>
      <c r="H1152" s="89"/>
      <c r="I1152" s="315"/>
    </row>
    <row r="1153" spans="1:8" ht="15.75" customHeight="1" x14ac:dyDescent="0.2">
      <c r="A1153" s="34" t="s">
        <v>14</v>
      </c>
      <c r="B1153" s="35" t="s">
        <v>652</v>
      </c>
      <c r="C1153" s="35" t="s">
        <v>15</v>
      </c>
      <c r="D1153" s="36" t="s">
        <v>13</v>
      </c>
      <c r="E1153" s="35" t="s">
        <v>13</v>
      </c>
      <c r="F1153" s="297">
        <f>F1154</f>
        <v>940.40000000000009</v>
      </c>
      <c r="G1153" s="12"/>
      <c r="H1153" s="13"/>
    </row>
    <row r="1154" spans="1:8" ht="15.75" customHeight="1" x14ac:dyDescent="0.2">
      <c r="A1154" s="20" t="s">
        <v>32</v>
      </c>
      <c r="B1154" s="21" t="s">
        <v>652</v>
      </c>
      <c r="C1154" s="21" t="s">
        <v>33</v>
      </c>
      <c r="D1154" s="22" t="s">
        <v>13</v>
      </c>
      <c r="E1154" s="21" t="s">
        <v>13</v>
      </c>
      <c r="F1154" s="294">
        <f>F1155</f>
        <v>940.40000000000009</v>
      </c>
      <c r="G1154" s="12"/>
      <c r="H1154" s="13"/>
    </row>
    <row r="1155" spans="1:8" ht="15.75" customHeight="1" x14ac:dyDescent="0.2">
      <c r="A1155" s="20" t="s">
        <v>34</v>
      </c>
      <c r="B1155" s="21" t="s">
        <v>652</v>
      </c>
      <c r="C1155" s="21" t="s">
        <v>33</v>
      </c>
      <c r="D1155" s="22" t="s">
        <v>35</v>
      </c>
      <c r="E1155" s="21" t="s">
        <v>13</v>
      </c>
      <c r="F1155" s="294">
        <f>F1156</f>
        <v>940.40000000000009</v>
      </c>
      <c r="G1155" s="12"/>
      <c r="H1155" s="13"/>
    </row>
    <row r="1156" spans="1:8" ht="15.75" customHeight="1" x14ac:dyDescent="0.2">
      <c r="A1156" s="20" t="s">
        <v>45</v>
      </c>
      <c r="B1156" s="21" t="s">
        <v>652</v>
      </c>
      <c r="C1156" s="21" t="s">
        <v>33</v>
      </c>
      <c r="D1156" s="22" t="s">
        <v>46</v>
      </c>
      <c r="E1156" s="21" t="s">
        <v>13</v>
      </c>
      <c r="F1156" s="294">
        <f>F1157</f>
        <v>940.40000000000009</v>
      </c>
      <c r="G1156" s="12"/>
      <c r="H1156" s="13"/>
    </row>
    <row r="1157" spans="1:8" ht="15.75" customHeight="1" x14ac:dyDescent="0.2">
      <c r="A1157" s="20" t="s">
        <v>47</v>
      </c>
      <c r="B1157" s="21" t="s">
        <v>652</v>
      </c>
      <c r="C1157" s="21" t="s">
        <v>33</v>
      </c>
      <c r="D1157" s="22" t="s">
        <v>48</v>
      </c>
      <c r="E1157" s="21"/>
      <c r="F1157" s="294">
        <f>SUM(F1158:F1159)</f>
        <v>940.40000000000009</v>
      </c>
      <c r="G1157" s="12"/>
      <c r="H1157" s="13"/>
    </row>
    <row r="1158" spans="1:8" ht="31.5" customHeight="1" x14ac:dyDescent="0.2">
      <c r="A1158" s="14" t="s">
        <v>43</v>
      </c>
      <c r="B1158" s="21" t="s">
        <v>652</v>
      </c>
      <c r="C1158" s="21" t="s">
        <v>33</v>
      </c>
      <c r="D1158" s="22" t="s">
        <v>48</v>
      </c>
      <c r="E1158" s="21">
        <v>240</v>
      </c>
      <c r="F1158" s="294">
        <v>902.7</v>
      </c>
      <c r="G1158" s="18"/>
      <c r="H1158" s="13"/>
    </row>
    <row r="1159" spans="1:8" ht="15.75" customHeight="1" x14ac:dyDescent="0.2">
      <c r="A1159" s="57" t="s">
        <v>44</v>
      </c>
      <c r="B1159" s="21" t="s">
        <v>652</v>
      </c>
      <c r="C1159" s="21" t="s">
        <v>33</v>
      </c>
      <c r="D1159" s="22" t="s">
        <v>48</v>
      </c>
      <c r="E1159" s="21">
        <v>850</v>
      </c>
      <c r="F1159" s="294">
        <v>37.700000000000003</v>
      </c>
      <c r="G1159" s="18"/>
      <c r="H1159" s="13"/>
    </row>
    <row r="1160" spans="1:8" ht="15.75" customHeight="1" x14ac:dyDescent="0.2">
      <c r="A1160" s="34" t="s">
        <v>189</v>
      </c>
      <c r="B1160" s="35" t="s">
        <v>652</v>
      </c>
      <c r="C1160" s="35" t="s">
        <v>190</v>
      </c>
      <c r="D1160" s="36" t="s">
        <v>13</v>
      </c>
      <c r="E1160" s="35" t="s">
        <v>13</v>
      </c>
      <c r="F1160" s="297">
        <f>F1161</f>
        <v>1721</v>
      </c>
      <c r="G1160" s="12"/>
      <c r="H1160" s="13"/>
    </row>
    <row r="1161" spans="1:8" ht="15.75" customHeight="1" x14ac:dyDescent="0.2">
      <c r="A1161" s="20" t="s">
        <v>191</v>
      </c>
      <c r="B1161" s="21" t="s">
        <v>652</v>
      </c>
      <c r="C1161" s="21" t="s">
        <v>192</v>
      </c>
      <c r="D1161" s="22" t="s">
        <v>13</v>
      </c>
      <c r="E1161" s="21" t="s">
        <v>13</v>
      </c>
      <c r="F1161" s="294">
        <f>F1168+F1162</f>
        <v>1721</v>
      </c>
      <c r="G1161" s="12"/>
      <c r="H1161" s="13"/>
    </row>
    <row r="1162" spans="1:8" ht="33" customHeight="1" x14ac:dyDescent="0.2">
      <c r="A1162" s="20" t="s">
        <v>349</v>
      </c>
      <c r="B1162" s="21" t="s">
        <v>652</v>
      </c>
      <c r="C1162" s="21" t="s">
        <v>192</v>
      </c>
      <c r="D1162" s="22" t="s">
        <v>350</v>
      </c>
      <c r="E1162" s="21"/>
      <c r="F1162" s="294">
        <f>F1163</f>
        <v>771</v>
      </c>
      <c r="G1162" s="12"/>
      <c r="H1162" s="13"/>
    </row>
    <row r="1163" spans="1:8" ht="43.5" customHeight="1" x14ac:dyDescent="0.2">
      <c r="A1163" s="20" t="s">
        <v>543</v>
      </c>
      <c r="B1163" s="21" t="s">
        <v>652</v>
      </c>
      <c r="C1163" s="21" t="s">
        <v>192</v>
      </c>
      <c r="D1163" s="22" t="s">
        <v>544</v>
      </c>
      <c r="E1163" s="21"/>
      <c r="F1163" s="294">
        <f>F1164</f>
        <v>771</v>
      </c>
      <c r="G1163" s="12"/>
      <c r="H1163" s="13"/>
    </row>
    <row r="1164" spans="1:8" ht="37.5" customHeight="1" x14ac:dyDescent="0.2">
      <c r="A1164" s="20" t="s">
        <v>545</v>
      </c>
      <c r="B1164" s="21" t="s">
        <v>652</v>
      </c>
      <c r="C1164" s="21" t="s">
        <v>192</v>
      </c>
      <c r="D1164" s="22" t="s">
        <v>546</v>
      </c>
      <c r="E1164" s="21"/>
      <c r="F1164" s="294">
        <f>F1165</f>
        <v>771</v>
      </c>
      <c r="G1164" s="12"/>
      <c r="H1164" s="13"/>
    </row>
    <row r="1165" spans="1:8" ht="36.75" customHeight="1" x14ac:dyDescent="0.2">
      <c r="A1165" s="20" t="s">
        <v>40</v>
      </c>
      <c r="B1165" s="21" t="s">
        <v>652</v>
      </c>
      <c r="C1165" s="21" t="s">
        <v>192</v>
      </c>
      <c r="D1165" s="22" t="s">
        <v>547</v>
      </c>
      <c r="E1165" s="21"/>
      <c r="F1165" s="294">
        <f>F1166+F1167</f>
        <v>771</v>
      </c>
      <c r="G1165" s="12"/>
      <c r="H1165" s="13"/>
    </row>
    <row r="1166" spans="1:8" ht="15.75" customHeight="1" x14ac:dyDescent="0.2">
      <c r="A1166" s="14" t="s">
        <v>998</v>
      </c>
      <c r="B1166" s="7" t="s">
        <v>652</v>
      </c>
      <c r="C1166" s="7" t="s">
        <v>192</v>
      </c>
      <c r="D1166" s="22" t="s">
        <v>547</v>
      </c>
      <c r="E1166" s="21">
        <v>610</v>
      </c>
      <c r="F1166" s="294">
        <f>271+100</f>
        <v>371</v>
      </c>
      <c r="G1166" s="85"/>
      <c r="H1166" s="13"/>
    </row>
    <row r="1167" spans="1:8" ht="15.75" customHeight="1" x14ac:dyDescent="0.2">
      <c r="A1167" s="14" t="s">
        <v>997</v>
      </c>
      <c r="B1167" s="7" t="s">
        <v>652</v>
      </c>
      <c r="C1167" s="7" t="s">
        <v>192</v>
      </c>
      <c r="D1167" s="8" t="s">
        <v>547</v>
      </c>
      <c r="E1167" s="7">
        <v>620</v>
      </c>
      <c r="F1167" s="295">
        <v>400</v>
      </c>
      <c r="G1167" s="85"/>
      <c r="H1167" s="13"/>
    </row>
    <row r="1168" spans="1:8" ht="47.25" customHeight="1" x14ac:dyDescent="0.2">
      <c r="A1168" s="14" t="s">
        <v>193</v>
      </c>
      <c r="B1168" s="7" t="s">
        <v>652</v>
      </c>
      <c r="C1168" s="7" t="s">
        <v>192</v>
      </c>
      <c r="D1168" s="8" t="s">
        <v>194</v>
      </c>
      <c r="E1168" s="7" t="s">
        <v>13</v>
      </c>
      <c r="F1168" s="294">
        <f>F1169</f>
        <v>950</v>
      </c>
      <c r="G1168" s="12"/>
      <c r="H1168" s="13"/>
    </row>
    <row r="1169" spans="1:8" ht="17.25" customHeight="1" x14ac:dyDescent="0.2">
      <c r="A1169" s="14" t="s">
        <v>195</v>
      </c>
      <c r="B1169" s="7" t="s">
        <v>652</v>
      </c>
      <c r="C1169" s="7" t="s">
        <v>192</v>
      </c>
      <c r="D1169" s="8" t="s">
        <v>196</v>
      </c>
      <c r="E1169" s="7" t="s">
        <v>13</v>
      </c>
      <c r="F1169" s="294">
        <f>F1170</f>
        <v>950</v>
      </c>
      <c r="G1169" s="12"/>
      <c r="H1169" s="13"/>
    </row>
    <row r="1170" spans="1:8" ht="31.5" customHeight="1" x14ac:dyDescent="0.2">
      <c r="A1170" s="14" t="s">
        <v>40</v>
      </c>
      <c r="B1170" s="7" t="s">
        <v>652</v>
      </c>
      <c r="C1170" s="7" t="s">
        <v>192</v>
      </c>
      <c r="D1170" s="8" t="s">
        <v>197</v>
      </c>
      <c r="E1170" s="7"/>
      <c r="F1170" s="294">
        <f>F1171+F1172</f>
        <v>950</v>
      </c>
      <c r="G1170" s="12"/>
      <c r="H1170" s="13"/>
    </row>
    <row r="1171" spans="1:8" x14ac:dyDescent="0.2">
      <c r="A1171" s="14" t="s">
        <v>996</v>
      </c>
      <c r="B1171" s="7" t="s">
        <v>652</v>
      </c>
      <c r="C1171" s="7" t="s">
        <v>192</v>
      </c>
      <c r="D1171" s="8" t="s">
        <v>197</v>
      </c>
      <c r="E1171" s="7">
        <v>610</v>
      </c>
      <c r="F1171" s="294">
        <f>450+100</f>
        <v>550</v>
      </c>
      <c r="G1171" s="85"/>
      <c r="H1171" s="13"/>
    </row>
    <row r="1172" spans="1:8" x14ac:dyDescent="0.2">
      <c r="A1172" s="14" t="s">
        <v>997</v>
      </c>
      <c r="B1172" s="7" t="s">
        <v>652</v>
      </c>
      <c r="C1172" s="7" t="s">
        <v>192</v>
      </c>
      <c r="D1172" s="8" t="s">
        <v>197</v>
      </c>
      <c r="E1172" s="7">
        <v>620</v>
      </c>
      <c r="F1172" s="295">
        <v>400</v>
      </c>
      <c r="G1172" s="85"/>
      <c r="H1172" s="13"/>
    </row>
    <row r="1173" spans="1:8" x14ac:dyDescent="0.2">
      <c r="A1173" s="34" t="s">
        <v>278</v>
      </c>
      <c r="B1173" s="35" t="s">
        <v>652</v>
      </c>
      <c r="C1173" s="36" t="s">
        <v>279</v>
      </c>
      <c r="D1173" s="36" t="s">
        <v>13</v>
      </c>
      <c r="E1173" s="35" t="s">
        <v>13</v>
      </c>
      <c r="F1173" s="297">
        <f>F1174</f>
        <v>3000</v>
      </c>
      <c r="G1173" s="12"/>
      <c r="H1173" s="13"/>
    </row>
    <row r="1174" spans="1:8" x14ac:dyDescent="0.2">
      <c r="A1174" s="20" t="s">
        <v>320</v>
      </c>
      <c r="B1174" s="21">
        <v>913</v>
      </c>
      <c r="C1174" s="22" t="s">
        <v>321</v>
      </c>
      <c r="D1174" s="22"/>
      <c r="E1174" s="21"/>
      <c r="F1174" s="294">
        <f>F1175+F1179</f>
        <v>3000</v>
      </c>
      <c r="G1174" s="12"/>
      <c r="H1174" s="13"/>
    </row>
    <row r="1175" spans="1:8" ht="47.25" x14ac:dyDescent="0.2">
      <c r="A1175" s="20" t="s">
        <v>237</v>
      </c>
      <c r="B1175" s="21">
        <v>913</v>
      </c>
      <c r="C1175" s="22" t="s">
        <v>321</v>
      </c>
      <c r="D1175" s="22" t="s">
        <v>238</v>
      </c>
      <c r="E1175" s="21"/>
      <c r="F1175" s="294">
        <f>F1176</f>
        <v>0</v>
      </c>
      <c r="G1175" s="12"/>
      <c r="H1175" s="13"/>
    </row>
    <row r="1176" spans="1:8" ht="31.5" x14ac:dyDescent="0.2">
      <c r="A1176" s="20" t="s">
        <v>947</v>
      </c>
      <c r="B1176" s="21">
        <v>913</v>
      </c>
      <c r="C1176" s="22" t="s">
        <v>321</v>
      </c>
      <c r="D1176" s="22" t="s">
        <v>926</v>
      </c>
      <c r="E1176" s="21"/>
      <c r="F1176" s="294">
        <f>F1177</f>
        <v>0</v>
      </c>
      <c r="G1176" s="12"/>
      <c r="H1176" s="13"/>
    </row>
    <row r="1177" spans="1:8" ht="47.25" x14ac:dyDescent="0.2">
      <c r="A1177" s="20" t="s">
        <v>948</v>
      </c>
      <c r="B1177" s="21">
        <v>913</v>
      </c>
      <c r="C1177" s="22" t="s">
        <v>321</v>
      </c>
      <c r="D1177" s="22" t="s">
        <v>927</v>
      </c>
      <c r="E1177" s="21"/>
      <c r="F1177" s="294">
        <f>F1178</f>
        <v>0</v>
      </c>
      <c r="G1177" s="249"/>
      <c r="H1177" s="13"/>
    </row>
    <row r="1178" spans="1:8" ht="16.5" thickBot="1" x14ac:dyDescent="0.25">
      <c r="A1178" s="20" t="s">
        <v>997</v>
      </c>
      <c r="B1178" s="21">
        <v>913</v>
      </c>
      <c r="C1178" s="22" t="s">
        <v>321</v>
      </c>
      <c r="D1178" s="22" t="s">
        <v>927</v>
      </c>
      <c r="E1178" s="21">
        <v>620</v>
      </c>
      <c r="F1178" s="294">
        <f>3000-3000</f>
        <v>0</v>
      </c>
      <c r="G1178" s="365"/>
      <c r="H1178" s="349"/>
    </row>
    <row r="1179" spans="1:8" ht="48" thickBot="1" x14ac:dyDescent="0.25">
      <c r="A1179" s="362" t="s">
        <v>1096</v>
      </c>
      <c r="B1179" s="21">
        <v>913</v>
      </c>
      <c r="C1179" s="22" t="s">
        <v>321</v>
      </c>
      <c r="D1179" s="22" t="s">
        <v>1097</v>
      </c>
      <c r="E1179" s="21"/>
      <c r="F1179" s="294">
        <f>F1180</f>
        <v>3000</v>
      </c>
      <c r="G1179" s="249"/>
      <c r="H1179" s="13"/>
    </row>
    <row r="1180" spans="1:8" ht="32.25" thickBot="1" x14ac:dyDescent="0.25">
      <c r="A1180" s="363" t="s">
        <v>947</v>
      </c>
      <c r="B1180" s="21">
        <v>913</v>
      </c>
      <c r="C1180" s="22" t="s">
        <v>321</v>
      </c>
      <c r="D1180" s="22" t="s">
        <v>1098</v>
      </c>
      <c r="E1180" s="21"/>
      <c r="F1180" s="294">
        <f>F1181</f>
        <v>3000</v>
      </c>
      <c r="G1180" s="249"/>
      <c r="H1180" s="13"/>
    </row>
    <row r="1181" spans="1:8" ht="79.5" thickBot="1" x14ac:dyDescent="0.25">
      <c r="A1181" s="363" t="s">
        <v>1100</v>
      </c>
      <c r="B1181" s="21">
        <v>913</v>
      </c>
      <c r="C1181" s="22" t="s">
        <v>321</v>
      </c>
      <c r="D1181" s="22" t="s">
        <v>1101</v>
      </c>
      <c r="E1181" s="21"/>
      <c r="F1181" s="294">
        <f>F1182</f>
        <v>3000</v>
      </c>
      <c r="G1181" s="249"/>
      <c r="H1181" s="13"/>
    </row>
    <row r="1182" spans="1:8" x14ac:dyDescent="0.2">
      <c r="A1182" s="364" t="s">
        <v>997</v>
      </c>
      <c r="B1182" s="21">
        <v>913</v>
      </c>
      <c r="C1182" s="22" t="s">
        <v>321</v>
      </c>
      <c r="D1182" s="22" t="s">
        <v>1101</v>
      </c>
      <c r="E1182" s="21">
        <v>620</v>
      </c>
      <c r="F1182" s="294">
        <v>3000</v>
      </c>
      <c r="G1182" s="365"/>
      <c r="H1182" s="349"/>
    </row>
    <row r="1183" spans="1:8" ht="15.75" customHeight="1" x14ac:dyDescent="0.2">
      <c r="A1183" s="34" t="s">
        <v>345</v>
      </c>
      <c r="B1183" s="35" t="s">
        <v>652</v>
      </c>
      <c r="C1183" s="35" t="s">
        <v>346</v>
      </c>
      <c r="D1183" s="36" t="s">
        <v>13</v>
      </c>
      <c r="E1183" s="35"/>
      <c r="F1183" s="297">
        <f>F1184+F1202+F1197</f>
        <v>371440.60000000003</v>
      </c>
      <c r="G1183" s="23"/>
      <c r="H1183" s="13"/>
    </row>
    <row r="1184" spans="1:8" ht="15.75" customHeight="1" x14ac:dyDescent="0.2">
      <c r="A1184" s="20" t="s">
        <v>792</v>
      </c>
      <c r="B1184" s="21" t="s">
        <v>652</v>
      </c>
      <c r="C1184" s="22" t="s">
        <v>793</v>
      </c>
      <c r="D1184" s="22" t="s">
        <v>13</v>
      </c>
      <c r="E1184" s="21" t="s">
        <v>13</v>
      </c>
      <c r="F1184" s="294">
        <f>F1185</f>
        <v>371015.60000000003</v>
      </c>
      <c r="G1184" s="12"/>
      <c r="H1184" s="13"/>
    </row>
    <row r="1185" spans="1:8" ht="31.5" customHeight="1" x14ac:dyDescent="0.2">
      <c r="A1185" s="20" t="s">
        <v>369</v>
      </c>
      <c r="B1185" s="21" t="s">
        <v>652</v>
      </c>
      <c r="C1185" s="22" t="s">
        <v>793</v>
      </c>
      <c r="D1185" s="22" t="s">
        <v>370</v>
      </c>
      <c r="E1185" s="21" t="s">
        <v>13</v>
      </c>
      <c r="F1185" s="294">
        <f>F1186+F1189+F1192</f>
        <v>371015.60000000003</v>
      </c>
      <c r="G1185" s="12"/>
      <c r="H1185" s="13"/>
    </row>
    <row r="1186" spans="1:8" ht="15.75" customHeight="1" x14ac:dyDescent="0.2">
      <c r="A1186" s="20" t="s">
        <v>395</v>
      </c>
      <c r="B1186" s="21" t="s">
        <v>652</v>
      </c>
      <c r="C1186" s="22" t="s">
        <v>793</v>
      </c>
      <c r="D1186" s="22" t="s">
        <v>371</v>
      </c>
      <c r="E1186" s="21" t="s">
        <v>13</v>
      </c>
      <c r="F1186" s="294">
        <f>F1187</f>
        <v>300</v>
      </c>
      <c r="G1186" s="12"/>
      <c r="H1186" s="13"/>
    </row>
    <row r="1187" spans="1:8" s="154" customFormat="1" ht="47.25" customHeight="1" x14ac:dyDescent="0.2">
      <c r="A1187" s="20" t="s">
        <v>907</v>
      </c>
      <c r="B1187" s="21" t="s">
        <v>652</v>
      </c>
      <c r="C1187" s="22" t="s">
        <v>793</v>
      </c>
      <c r="D1187" s="22" t="s">
        <v>653</v>
      </c>
      <c r="E1187" s="21" t="s">
        <v>13</v>
      </c>
      <c r="F1187" s="294">
        <f>F1188</f>
        <v>300</v>
      </c>
      <c r="G1187" s="138"/>
      <c r="H1187" s="153"/>
    </row>
    <row r="1188" spans="1:8" s="154" customFormat="1" ht="47.25" customHeight="1" x14ac:dyDescent="0.2">
      <c r="A1188" s="20" t="s">
        <v>998</v>
      </c>
      <c r="B1188" s="21" t="s">
        <v>652</v>
      </c>
      <c r="C1188" s="22" t="s">
        <v>793</v>
      </c>
      <c r="D1188" s="22" t="s">
        <v>653</v>
      </c>
      <c r="E1188" s="45">
        <v>610</v>
      </c>
      <c r="F1188" s="294">
        <v>300</v>
      </c>
      <c r="G1188" s="266"/>
      <c r="H1188" s="153"/>
    </row>
    <row r="1189" spans="1:8" ht="31.5" customHeight="1" x14ac:dyDescent="0.2">
      <c r="A1189" s="14" t="s">
        <v>654</v>
      </c>
      <c r="B1189" s="7" t="s">
        <v>652</v>
      </c>
      <c r="C1189" s="8" t="s">
        <v>793</v>
      </c>
      <c r="D1189" s="8" t="s">
        <v>655</v>
      </c>
      <c r="E1189" s="21"/>
      <c r="F1189" s="294">
        <f>F1190</f>
        <v>3802</v>
      </c>
      <c r="G1189" s="12"/>
      <c r="H1189" s="13"/>
    </row>
    <row r="1190" spans="1:8" ht="31.5" customHeight="1" x14ac:dyDescent="0.2">
      <c r="A1190" s="14" t="s">
        <v>40</v>
      </c>
      <c r="B1190" s="7" t="s">
        <v>652</v>
      </c>
      <c r="C1190" s="8" t="s">
        <v>793</v>
      </c>
      <c r="D1190" s="8" t="s">
        <v>656</v>
      </c>
      <c r="E1190" s="304"/>
      <c r="F1190" s="294">
        <f>F1191</f>
        <v>3802</v>
      </c>
      <c r="G1190" s="12"/>
      <c r="H1190" s="13"/>
    </row>
    <row r="1191" spans="1:8" x14ac:dyDescent="0.2">
      <c r="A1191" s="20" t="s">
        <v>998</v>
      </c>
      <c r="B1191" s="21" t="s">
        <v>652</v>
      </c>
      <c r="C1191" s="22" t="s">
        <v>793</v>
      </c>
      <c r="D1191" s="22" t="s">
        <v>656</v>
      </c>
      <c r="E1191" s="21">
        <v>610</v>
      </c>
      <c r="F1191" s="294">
        <v>3802</v>
      </c>
      <c r="G1191" s="87"/>
      <c r="H1191" s="13"/>
    </row>
    <row r="1192" spans="1:8" ht="31.5" customHeight="1" x14ac:dyDescent="0.2">
      <c r="A1192" s="14" t="s">
        <v>657</v>
      </c>
      <c r="B1192" s="7" t="s">
        <v>652</v>
      </c>
      <c r="C1192" s="8" t="s">
        <v>793</v>
      </c>
      <c r="D1192" s="8" t="s">
        <v>658</v>
      </c>
      <c r="E1192" s="7" t="s">
        <v>13</v>
      </c>
      <c r="F1192" s="294">
        <f>F1193+F1195</f>
        <v>366913.60000000003</v>
      </c>
      <c r="G1192" s="12"/>
      <c r="H1192" s="13"/>
    </row>
    <row r="1193" spans="1:8" ht="31.5" customHeight="1" x14ac:dyDescent="0.2">
      <c r="A1193" s="14" t="s">
        <v>40</v>
      </c>
      <c r="B1193" s="7" t="s">
        <v>652</v>
      </c>
      <c r="C1193" s="8" t="s">
        <v>793</v>
      </c>
      <c r="D1193" s="8" t="s">
        <v>659</v>
      </c>
      <c r="E1193" s="7"/>
      <c r="F1193" s="294">
        <f>F1194</f>
        <v>366343.60000000003</v>
      </c>
      <c r="G1193" s="12"/>
      <c r="H1193" s="13"/>
    </row>
    <row r="1194" spans="1:8" ht="15.75" customHeight="1" x14ac:dyDescent="0.2">
      <c r="A1194" s="14" t="s">
        <v>998</v>
      </c>
      <c r="B1194" s="7" t="s">
        <v>652</v>
      </c>
      <c r="C1194" s="8" t="s">
        <v>793</v>
      </c>
      <c r="D1194" s="8" t="s">
        <v>659</v>
      </c>
      <c r="E1194" s="303">
        <v>610</v>
      </c>
      <c r="F1194" s="294">
        <f>365517.2+826.4</f>
        <v>366343.60000000003</v>
      </c>
      <c r="G1194" s="85"/>
      <c r="H1194" s="13"/>
    </row>
    <row r="1195" spans="1:8" ht="63" customHeight="1" x14ac:dyDescent="0.2">
      <c r="A1195" s="20" t="s">
        <v>611</v>
      </c>
      <c r="B1195" s="21" t="s">
        <v>652</v>
      </c>
      <c r="C1195" s="22" t="s">
        <v>793</v>
      </c>
      <c r="D1195" s="22" t="s">
        <v>660</v>
      </c>
      <c r="E1195" s="21"/>
      <c r="F1195" s="294">
        <f>F1196</f>
        <v>570</v>
      </c>
      <c r="G1195" s="12"/>
      <c r="H1195" s="13"/>
    </row>
    <row r="1196" spans="1:8" ht="15.75" customHeight="1" x14ac:dyDescent="0.2">
      <c r="A1196" s="20" t="s">
        <v>998</v>
      </c>
      <c r="B1196" s="21" t="s">
        <v>652</v>
      </c>
      <c r="C1196" s="22" t="s">
        <v>793</v>
      </c>
      <c r="D1196" s="22" t="s">
        <v>660</v>
      </c>
      <c r="E1196" s="303">
        <v>610</v>
      </c>
      <c r="F1196" s="294">
        <v>570</v>
      </c>
      <c r="G1196" s="85"/>
      <c r="H1196" s="13"/>
    </row>
    <row r="1197" spans="1:8" ht="15.75" customHeight="1" x14ac:dyDescent="0.2">
      <c r="A1197" s="20" t="s">
        <v>1081</v>
      </c>
      <c r="B1197" s="21" t="s">
        <v>652</v>
      </c>
      <c r="C1197" s="22" t="s">
        <v>1080</v>
      </c>
      <c r="D1197" s="22"/>
      <c r="E1197" s="21"/>
      <c r="F1197" s="294">
        <f>F1198</f>
        <v>25</v>
      </c>
      <c r="G1197" s="12"/>
      <c r="H1197" s="13"/>
    </row>
    <row r="1198" spans="1:8" ht="15.75" customHeight="1" x14ac:dyDescent="0.2">
      <c r="A1198" s="20" t="s">
        <v>75</v>
      </c>
      <c r="B1198" s="21" t="s">
        <v>652</v>
      </c>
      <c r="C1198" s="22" t="s">
        <v>1080</v>
      </c>
      <c r="D1198" s="22" t="s">
        <v>76</v>
      </c>
      <c r="E1198" s="21" t="s">
        <v>13</v>
      </c>
      <c r="F1198" s="294">
        <f>F1199</f>
        <v>25</v>
      </c>
      <c r="G1198" s="12"/>
      <c r="H1198" s="13"/>
    </row>
    <row r="1199" spans="1:8" ht="15.75" customHeight="1" x14ac:dyDescent="0.2">
      <c r="A1199" s="20" t="s">
        <v>77</v>
      </c>
      <c r="B1199" s="21" t="s">
        <v>652</v>
      </c>
      <c r="C1199" s="22" t="s">
        <v>1080</v>
      </c>
      <c r="D1199" s="22" t="s">
        <v>78</v>
      </c>
      <c r="E1199" s="21" t="s">
        <v>13</v>
      </c>
      <c r="F1199" s="294">
        <f>F1200</f>
        <v>25</v>
      </c>
      <c r="G1199" s="23"/>
      <c r="H1199" s="13"/>
    </row>
    <row r="1200" spans="1:8" ht="15.75" customHeight="1" x14ac:dyDescent="0.2">
      <c r="A1200" s="24" t="s">
        <v>80</v>
      </c>
      <c r="B1200" s="21" t="s">
        <v>652</v>
      </c>
      <c r="C1200" s="22" t="s">
        <v>1080</v>
      </c>
      <c r="D1200" s="22" t="s">
        <v>81</v>
      </c>
      <c r="E1200" s="21"/>
      <c r="F1200" s="294">
        <f>F1201</f>
        <v>25</v>
      </c>
      <c r="G1200" s="17"/>
      <c r="H1200" s="13"/>
    </row>
    <row r="1201" spans="1:8" ht="15.75" customHeight="1" x14ac:dyDescent="0.2">
      <c r="A1201" s="14" t="s">
        <v>43</v>
      </c>
      <c r="B1201" s="21" t="s">
        <v>652</v>
      </c>
      <c r="C1201" s="22" t="s">
        <v>1080</v>
      </c>
      <c r="D1201" s="22" t="s">
        <v>81</v>
      </c>
      <c r="E1201" s="21">
        <v>240</v>
      </c>
      <c r="F1201" s="294">
        <f>25</f>
        <v>25</v>
      </c>
      <c r="G1201" s="17"/>
      <c r="H1201" s="13"/>
    </row>
    <row r="1202" spans="1:8" ht="15.75" customHeight="1" x14ac:dyDescent="0.2">
      <c r="A1202" s="20" t="s">
        <v>791</v>
      </c>
      <c r="B1202" s="21" t="s">
        <v>652</v>
      </c>
      <c r="C1202" s="21" t="s">
        <v>372</v>
      </c>
      <c r="D1202" s="22" t="s">
        <v>13</v>
      </c>
      <c r="E1202" s="21" t="s">
        <v>13</v>
      </c>
      <c r="F1202" s="294">
        <f>F1203+F1214</f>
        <v>400</v>
      </c>
      <c r="G1202" s="12"/>
      <c r="H1202" s="13"/>
    </row>
    <row r="1203" spans="1:8" ht="31.5" customHeight="1" x14ac:dyDescent="0.2">
      <c r="A1203" s="20" t="s">
        <v>349</v>
      </c>
      <c r="B1203" s="21" t="s">
        <v>652</v>
      </c>
      <c r="C1203" s="21" t="s">
        <v>372</v>
      </c>
      <c r="D1203" s="22" t="s">
        <v>350</v>
      </c>
      <c r="E1203" s="21" t="s">
        <v>13</v>
      </c>
      <c r="F1203" s="294">
        <f>F1204</f>
        <v>100</v>
      </c>
      <c r="G1203" s="12"/>
      <c r="H1203" s="13"/>
    </row>
    <row r="1204" spans="1:8" ht="31.5" customHeight="1" x14ac:dyDescent="0.2">
      <c r="A1204" s="20" t="s">
        <v>543</v>
      </c>
      <c r="B1204" s="21" t="s">
        <v>652</v>
      </c>
      <c r="C1204" s="21" t="s">
        <v>372</v>
      </c>
      <c r="D1204" s="22" t="s">
        <v>544</v>
      </c>
      <c r="E1204" s="21" t="s">
        <v>13</v>
      </c>
      <c r="F1204" s="294">
        <f>F1205+F1208+F1211</f>
        <v>100</v>
      </c>
      <c r="G1204" s="12"/>
      <c r="H1204" s="13"/>
    </row>
    <row r="1205" spans="1:8" ht="31.5" customHeight="1" x14ac:dyDescent="0.2">
      <c r="A1205" s="20" t="s">
        <v>599</v>
      </c>
      <c r="B1205" s="21" t="s">
        <v>652</v>
      </c>
      <c r="C1205" s="21" t="s">
        <v>372</v>
      </c>
      <c r="D1205" s="22" t="s">
        <v>600</v>
      </c>
      <c r="E1205" s="21" t="s">
        <v>13</v>
      </c>
      <c r="F1205" s="294">
        <f>SUM(F1206)</f>
        <v>14.5</v>
      </c>
      <c r="G1205" s="12"/>
      <c r="H1205" s="13"/>
    </row>
    <row r="1206" spans="1:8" ht="31.5" customHeight="1" x14ac:dyDescent="0.2">
      <c r="A1206" s="20" t="s">
        <v>40</v>
      </c>
      <c r="B1206" s="21">
        <v>913</v>
      </c>
      <c r="C1206" s="21" t="s">
        <v>372</v>
      </c>
      <c r="D1206" s="22" t="s">
        <v>601</v>
      </c>
      <c r="E1206" s="21"/>
      <c r="F1206" s="294">
        <f>F1207</f>
        <v>14.5</v>
      </c>
      <c r="G1206" s="12"/>
      <c r="H1206" s="13"/>
    </row>
    <row r="1207" spans="1:8" ht="15.75" customHeight="1" x14ac:dyDescent="0.2">
      <c r="A1207" s="20" t="s">
        <v>998</v>
      </c>
      <c r="B1207" s="21" t="s">
        <v>652</v>
      </c>
      <c r="C1207" s="21" t="s">
        <v>372</v>
      </c>
      <c r="D1207" s="22" t="s">
        <v>601</v>
      </c>
      <c r="E1207" s="303">
        <v>610</v>
      </c>
      <c r="F1207" s="294">
        <v>14.5</v>
      </c>
      <c r="G1207" s="12"/>
      <c r="H1207" s="13"/>
    </row>
    <row r="1208" spans="1:8" ht="15.75" customHeight="1" x14ac:dyDescent="0.2">
      <c r="A1208" s="20" t="s">
        <v>602</v>
      </c>
      <c r="B1208" s="21" t="s">
        <v>652</v>
      </c>
      <c r="C1208" s="21" t="s">
        <v>372</v>
      </c>
      <c r="D1208" s="22" t="s">
        <v>603</v>
      </c>
      <c r="E1208" s="21" t="s">
        <v>13</v>
      </c>
      <c r="F1208" s="294">
        <f>F1209</f>
        <v>54.1</v>
      </c>
      <c r="G1208" s="12"/>
      <c r="H1208" s="13"/>
    </row>
    <row r="1209" spans="1:8" ht="31.5" customHeight="1" x14ac:dyDescent="0.2">
      <c r="A1209" s="20" t="s">
        <v>40</v>
      </c>
      <c r="B1209" s="21" t="s">
        <v>652</v>
      </c>
      <c r="C1209" s="21" t="s">
        <v>372</v>
      </c>
      <c r="D1209" s="22" t="s">
        <v>604</v>
      </c>
      <c r="E1209" s="21"/>
      <c r="F1209" s="294">
        <f>F1210</f>
        <v>54.1</v>
      </c>
      <c r="G1209" s="12"/>
      <c r="H1209" s="13"/>
    </row>
    <row r="1210" spans="1:8" ht="15.75" customHeight="1" x14ac:dyDescent="0.2">
      <c r="A1210" s="20" t="s">
        <v>998</v>
      </c>
      <c r="B1210" s="21" t="s">
        <v>652</v>
      </c>
      <c r="C1210" s="21" t="s">
        <v>372</v>
      </c>
      <c r="D1210" s="22" t="s">
        <v>604</v>
      </c>
      <c r="E1210" s="303">
        <v>610</v>
      </c>
      <c r="F1210" s="294">
        <v>54.1</v>
      </c>
      <c r="G1210" s="12"/>
      <c r="H1210" s="13"/>
    </row>
    <row r="1211" spans="1:8" ht="31.5" customHeight="1" x14ac:dyDescent="0.2">
      <c r="A1211" s="20" t="s">
        <v>545</v>
      </c>
      <c r="B1211" s="21" t="s">
        <v>652</v>
      </c>
      <c r="C1211" s="21" t="s">
        <v>372</v>
      </c>
      <c r="D1211" s="22" t="s">
        <v>546</v>
      </c>
      <c r="E1211" s="21" t="s">
        <v>13</v>
      </c>
      <c r="F1211" s="294">
        <f>F1212</f>
        <v>31.4</v>
      </c>
      <c r="G1211" s="12"/>
      <c r="H1211" s="13"/>
    </row>
    <row r="1212" spans="1:8" ht="31.5" customHeight="1" x14ac:dyDescent="0.2">
      <c r="A1212" s="20" t="s">
        <v>40</v>
      </c>
      <c r="B1212" s="21" t="s">
        <v>652</v>
      </c>
      <c r="C1212" s="21" t="s">
        <v>372</v>
      </c>
      <c r="D1212" s="22" t="s">
        <v>547</v>
      </c>
      <c r="E1212" s="21"/>
      <c r="F1212" s="294">
        <f>F1213</f>
        <v>31.4</v>
      </c>
      <c r="G1212" s="12"/>
      <c r="H1212" s="13"/>
    </row>
    <row r="1213" spans="1:8" ht="15.75" customHeight="1" x14ac:dyDescent="0.2">
      <c r="A1213" s="20" t="s">
        <v>998</v>
      </c>
      <c r="B1213" s="21" t="s">
        <v>652</v>
      </c>
      <c r="C1213" s="21" t="s">
        <v>372</v>
      </c>
      <c r="D1213" s="22" t="s">
        <v>547</v>
      </c>
      <c r="E1213" s="303">
        <v>610</v>
      </c>
      <c r="F1213" s="294">
        <v>31.4</v>
      </c>
      <c r="G1213" s="58"/>
      <c r="H1213" s="13"/>
    </row>
    <row r="1214" spans="1:8" ht="47.25" customHeight="1" x14ac:dyDescent="0.2">
      <c r="A1214" s="20" t="s">
        <v>193</v>
      </c>
      <c r="B1214" s="21" t="s">
        <v>652</v>
      </c>
      <c r="C1214" s="21" t="s">
        <v>372</v>
      </c>
      <c r="D1214" s="22" t="s">
        <v>194</v>
      </c>
      <c r="E1214" s="21" t="s">
        <v>13</v>
      </c>
      <c r="F1214" s="294">
        <f>F1215+F1218</f>
        <v>300</v>
      </c>
      <c r="G1214" s="12"/>
      <c r="H1214" s="13"/>
    </row>
    <row r="1215" spans="1:8" ht="15.75" customHeight="1" x14ac:dyDescent="0.2">
      <c r="A1215" s="20" t="s">
        <v>195</v>
      </c>
      <c r="B1215" s="21" t="s">
        <v>652</v>
      </c>
      <c r="C1215" s="21" t="s">
        <v>372</v>
      </c>
      <c r="D1215" s="22" t="s">
        <v>196</v>
      </c>
      <c r="E1215" s="21" t="s">
        <v>13</v>
      </c>
      <c r="F1215" s="294">
        <f>F1216</f>
        <v>200</v>
      </c>
      <c r="G1215" s="12"/>
      <c r="H1215" s="13"/>
    </row>
    <row r="1216" spans="1:8" ht="31.5" customHeight="1" x14ac:dyDescent="0.2">
      <c r="A1216" s="20" t="s">
        <v>40</v>
      </c>
      <c r="B1216" s="21" t="s">
        <v>652</v>
      </c>
      <c r="C1216" s="21" t="s">
        <v>372</v>
      </c>
      <c r="D1216" s="22" t="s">
        <v>197</v>
      </c>
      <c r="E1216" s="21"/>
      <c r="F1216" s="294">
        <f>SUM(F1217:F1217)</f>
        <v>200</v>
      </c>
      <c r="G1216" s="12"/>
      <c r="H1216" s="13"/>
    </row>
    <row r="1217" spans="1:12" ht="15.75" customHeight="1" x14ac:dyDescent="0.2">
      <c r="A1217" s="20" t="s">
        <v>998</v>
      </c>
      <c r="B1217" s="21" t="s">
        <v>652</v>
      </c>
      <c r="C1217" s="21" t="s">
        <v>372</v>
      </c>
      <c r="D1217" s="22" t="s">
        <v>197</v>
      </c>
      <c r="E1217" s="303">
        <v>610</v>
      </c>
      <c r="F1217" s="294">
        <v>200</v>
      </c>
      <c r="G1217" s="85"/>
      <c r="H1217" s="13"/>
    </row>
    <row r="1218" spans="1:12" ht="31.5" customHeight="1" x14ac:dyDescent="0.2">
      <c r="A1218" s="20" t="s">
        <v>381</v>
      </c>
      <c r="B1218" s="21" t="s">
        <v>652</v>
      </c>
      <c r="C1218" s="21" t="s">
        <v>372</v>
      </c>
      <c r="D1218" s="22" t="s">
        <v>382</v>
      </c>
      <c r="E1218" s="21" t="s">
        <v>13</v>
      </c>
      <c r="F1218" s="294">
        <f>F1219</f>
        <v>100</v>
      </c>
      <c r="G1218" s="12"/>
      <c r="H1218" s="13"/>
    </row>
    <row r="1219" spans="1:12" ht="31.5" customHeight="1" x14ac:dyDescent="0.2">
      <c r="A1219" s="20" t="s">
        <v>40</v>
      </c>
      <c r="B1219" s="21" t="s">
        <v>652</v>
      </c>
      <c r="C1219" s="21" t="s">
        <v>372</v>
      </c>
      <c r="D1219" s="22" t="s">
        <v>383</v>
      </c>
      <c r="E1219" s="21"/>
      <c r="F1219" s="294">
        <f>F1220</f>
        <v>100</v>
      </c>
      <c r="G1219" s="12"/>
      <c r="H1219" s="13"/>
    </row>
    <row r="1220" spans="1:12" ht="15.75" customHeight="1" x14ac:dyDescent="0.2">
      <c r="A1220" s="20" t="s">
        <v>998</v>
      </c>
      <c r="B1220" s="21" t="s">
        <v>652</v>
      </c>
      <c r="C1220" s="21" t="s">
        <v>372</v>
      </c>
      <c r="D1220" s="22" t="s">
        <v>383</v>
      </c>
      <c r="E1220" s="303">
        <v>610</v>
      </c>
      <c r="F1220" s="294">
        <v>100</v>
      </c>
      <c r="G1220" s="12"/>
      <c r="H1220" s="13"/>
    </row>
    <row r="1221" spans="1:12" ht="15.75" customHeight="1" x14ac:dyDescent="0.2">
      <c r="A1221" s="34" t="s">
        <v>391</v>
      </c>
      <c r="B1221" s="35" t="s">
        <v>652</v>
      </c>
      <c r="C1221" s="35" t="s">
        <v>392</v>
      </c>
      <c r="D1221" s="36" t="s">
        <v>13</v>
      </c>
      <c r="E1221" s="35" t="s">
        <v>13</v>
      </c>
      <c r="F1221" s="297">
        <f>F1222+F1246</f>
        <v>1127953</v>
      </c>
      <c r="G1221" s="30"/>
      <c r="H1221" s="13"/>
    </row>
    <row r="1222" spans="1:12" ht="15.75" customHeight="1" x14ac:dyDescent="0.2">
      <c r="A1222" s="20" t="s">
        <v>393</v>
      </c>
      <c r="B1222" s="21" t="s">
        <v>652</v>
      </c>
      <c r="C1222" s="21" t="s">
        <v>394</v>
      </c>
      <c r="D1222" s="22" t="s">
        <v>13</v>
      </c>
      <c r="E1222" s="21" t="s">
        <v>13</v>
      </c>
      <c r="F1222" s="294">
        <f>F1223</f>
        <v>1009142.6</v>
      </c>
      <c r="G1222" s="12"/>
      <c r="H1222" s="13"/>
    </row>
    <row r="1223" spans="1:12" ht="31.5" customHeight="1" x14ac:dyDescent="0.2">
      <c r="A1223" s="20" t="s">
        <v>369</v>
      </c>
      <c r="B1223" s="21" t="s">
        <v>652</v>
      </c>
      <c r="C1223" s="21" t="s">
        <v>394</v>
      </c>
      <c r="D1223" s="22" t="s">
        <v>370</v>
      </c>
      <c r="E1223" s="21" t="s">
        <v>13</v>
      </c>
      <c r="F1223" s="294">
        <f>F1224+F1227+F1230+F1234+F1239+F1243</f>
        <v>1009142.6</v>
      </c>
      <c r="G1223" s="12"/>
      <c r="H1223" s="13"/>
    </row>
    <row r="1224" spans="1:12" ht="15.75" customHeight="1" x14ac:dyDescent="0.2">
      <c r="A1224" s="20" t="s">
        <v>661</v>
      </c>
      <c r="B1224" s="21" t="s">
        <v>652</v>
      </c>
      <c r="C1224" s="21" t="s">
        <v>394</v>
      </c>
      <c r="D1224" s="22" t="s">
        <v>662</v>
      </c>
      <c r="E1224" s="21" t="s">
        <v>13</v>
      </c>
      <c r="F1224" s="294">
        <f>F1226</f>
        <v>176944.19999999998</v>
      </c>
      <c r="G1224" s="12"/>
      <c r="H1224" s="13"/>
    </row>
    <row r="1225" spans="1:12" ht="31.5" customHeight="1" x14ac:dyDescent="0.2">
      <c r="A1225" s="20" t="s">
        <v>40</v>
      </c>
      <c r="B1225" s="21" t="s">
        <v>652</v>
      </c>
      <c r="C1225" s="21" t="s">
        <v>394</v>
      </c>
      <c r="D1225" s="22" t="s">
        <v>663</v>
      </c>
      <c r="E1225" s="21"/>
      <c r="F1225" s="294">
        <f>F1226</f>
        <v>176944.19999999998</v>
      </c>
      <c r="G1225" s="12"/>
      <c r="H1225" s="13"/>
      <c r="L1225" s="116"/>
    </row>
    <row r="1226" spans="1:12" ht="24" customHeight="1" x14ac:dyDescent="0.2">
      <c r="A1226" s="20" t="s">
        <v>998</v>
      </c>
      <c r="B1226" s="21" t="s">
        <v>652</v>
      </c>
      <c r="C1226" s="21" t="s">
        <v>394</v>
      </c>
      <c r="D1226" s="22" t="s">
        <v>663</v>
      </c>
      <c r="E1226" s="45">
        <v>610</v>
      </c>
      <c r="F1226" s="294">
        <f>176646.4+297.8</f>
        <v>176944.19999999998</v>
      </c>
      <c r="G1226" s="85"/>
      <c r="H1226" s="13"/>
    </row>
    <row r="1227" spans="1:12" ht="15.75" customHeight="1" x14ac:dyDescent="0.2">
      <c r="A1227" s="20" t="s">
        <v>664</v>
      </c>
      <c r="B1227" s="21" t="s">
        <v>652</v>
      </c>
      <c r="C1227" s="21" t="s">
        <v>394</v>
      </c>
      <c r="D1227" s="22" t="s">
        <v>665</v>
      </c>
      <c r="E1227" s="21" t="s">
        <v>13</v>
      </c>
      <c r="F1227" s="294">
        <f>F1228</f>
        <v>90556.3</v>
      </c>
      <c r="G1227" s="12"/>
      <c r="H1227" s="13"/>
    </row>
    <row r="1228" spans="1:12" ht="31.5" customHeight="1" x14ac:dyDescent="0.2">
      <c r="A1228" s="20" t="s">
        <v>40</v>
      </c>
      <c r="B1228" s="21" t="s">
        <v>652</v>
      </c>
      <c r="C1228" s="21" t="s">
        <v>394</v>
      </c>
      <c r="D1228" s="22" t="s">
        <v>666</v>
      </c>
      <c r="E1228" s="21"/>
      <c r="F1228" s="294">
        <f>F1229</f>
        <v>90556.3</v>
      </c>
      <c r="G1228" s="12"/>
      <c r="H1228" s="13"/>
    </row>
    <row r="1229" spans="1:12" ht="20.25" customHeight="1" x14ac:dyDescent="0.2">
      <c r="A1229" s="20" t="s">
        <v>998</v>
      </c>
      <c r="B1229" s="21" t="s">
        <v>652</v>
      </c>
      <c r="C1229" s="21" t="s">
        <v>394</v>
      </c>
      <c r="D1229" s="22" t="s">
        <v>666</v>
      </c>
      <c r="E1229" s="45">
        <v>610</v>
      </c>
      <c r="F1229" s="294">
        <f>90526+30.3</f>
        <v>90556.3</v>
      </c>
      <c r="G1229" s="85"/>
      <c r="H1229" s="13"/>
    </row>
    <row r="1230" spans="1:12" ht="15.75" customHeight="1" x14ac:dyDescent="0.2">
      <c r="A1230" s="20" t="s">
        <v>667</v>
      </c>
      <c r="B1230" s="21" t="s">
        <v>652</v>
      </c>
      <c r="C1230" s="21" t="s">
        <v>394</v>
      </c>
      <c r="D1230" s="22" t="s">
        <v>668</v>
      </c>
      <c r="E1230" s="21" t="s">
        <v>13</v>
      </c>
      <c r="F1230" s="294">
        <f>F1231</f>
        <v>645977.5</v>
      </c>
      <c r="G1230" s="12"/>
      <c r="H1230" s="13"/>
    </row>
    <row r="1231" spans="1:12" ht="31.5" customHeight="1" x14ac:dyDescent="0.2">
      <c r="A1231" s="20" t="s">
        <v>40</v>
      </c>
      <c r="B1231" s="21" t="s">
        <v>652</v>
      </c>
      <c r="C1231" s="21" t="s">
        <v>394</v>
      </c>
      <c r="D1231" s="22" t="s">
        <v>669</v>
      </c>
      <c r="E1231" s="21"/>
      <c r="F1231" s="294">
        <f>F1232+F1233</f>
        <v>645977.5</v>
      </c>
      <c r="G1231" s="12"/>
      <c r="H1231" s="13"/>
    </row>
    <row r="1232" spans="1:12" ht="19.5" customHeight="1" x14ac:dyDescent="0.2">
      <c r="A1232" s="20" t="s">
        <v>998</v>
      </c>
      <c r="B1232" s="21" t="s">
        <v>652</v>
      </c>
      <c r="C1232" s="21" t="s">
        <v>394</v>
      </c>
      <c r="D1232" s="22" t="s">
        <v>669</v>
      </c>
      <c r="E1232" s="45">
        <v>610</v>
      </c>
      <c r="F1232" s="294">
        <f>349827.4+793.1</f>
        <v>350620.5</v>
      </c>
      <c r="G1232" s="84"/>
      <c r="H1232" s="199"/>
    </row>
    <row r="1233" spans="1:8" ht="20.25" customHeight="1" x14ac:dyDescent="0.2">
      <c r="A1233" s="20" t="s">
        <v>997</v>
      </c>
      <c r="B1233" s="21" t="s">
        <v>652</v>
      </c>
      <c r="C1233" s="21" t="s">
        <v>394</v>
      </c>
      <c r="D1233" s="22" t="s">
        <v>669</v>
      </c>
      <c r="E1233" s="21">
        <v>620</v>
      </c>
      <c r="F1233" s="294">
        <f>294101.4+1255.6</f>
        <v>295357</v>
      </c>
      <c r="G1233" s="85"/>
      <c r="H1233" s="13"/>
    </row>
    <row r="1234" spans="1:8" ht="15.75" customHeight="1" x14ac:dyDescent="0.2">
      <c r="A1234" s="20" t="s">
        <v>395</v>
      </c>
      <c r="B1234" s="21" t="s">
        <v>652</v>
      </c>
      <c r="C1234" s="21" t="s">
        <v>394</v>
      </c>
      <c r="D1234" s="22" t="s">
        <v>371</v>
      </c>
      <c r="E1234" s="21" t="s">
        <v>13</v>
      </c>
      <c r="F1234" s="294">
        <f>F1237+F1235</f>
        <v>25585.599999999999</v>
      </c>
      <c r="G1234" s="12"/>
      <c r="H1234" s="13"/>
    </row>
    <row r="1235" spans="1:8" ht="15.75" customHeight="1" x14ac:dyDescent="0.2">
      <c r="A1235" s="20" t="s">
        <v>40</v>
      </c>
      <c r="B1235" s="21" t="s">
        <v>652</v>
      </c>
      <c r="C1235" s="21" t="s">
        <v>394</v>
      </c>
      <c r="D1235" s="22" t="s">
        <v>1119</v>
      </c>
      <c r="E1235" s="21"/>
      <c r="F1235" s="294">
        <f>F1236</f>
        <v>25265.599999999999</v>
      </c>
      <c r="G1235" s="12"/>
      <c r="H1235" s="13"/>
    </row>
    <row r="1236" spans="1:8" ht="15.75" customHeight="1" x14ac:dyDescent="0.2">
      <c r="A1236" s="20" t="s">
        <v>998</v>
      </c>
      <c r="B1236" s="21" t="s">
        <v>652</v>
      </c>
      <c r="C1236" s="21" t="s">
        <v>394</v>
      </c>
      <c r="D1236" s="22" t="s">
        <v>1119</v>
      </c>
      <c r="E1236" s="21">
        <v>620</v>
      </c>
      <c r="F1236" s="294">
        <v>25265.599999999999</v>
      </c>
      <c r="G1236" s="85"/>
      <c r="H1236" s="13"/>
    </row>
    <row r="1237" spans="1:8" ht="47.25" customHeight="1" x14ac:dyDescent="0.2">
      <c r="A1237" s="20" t="s">
        <v>907</v>
      </c>
      <c r="B1237" s="21" t="s">
        <v>652</v>
      </c>
      <c r="C1237" s="21" t="s">
        <v>394</v>
      </c>
      <c r="D1237" s="22" t="s">
        <v>653</v>
      </c>
      <c r="E1237" s="21" t="s">
        <v>13</v>
      </c>
      <c r="F1237" s="294">
        <f>F1238</f>
        <v>320</v>
      </c>
      <c r="G1237" s="12"/>
      <c r="H1237" s="13"/>
    </row>
    <row r="1238" spans="1:8" ht="18.75" customHeight="1" x14ac:dyDescent="0.2">
      <c r="A1238" s="20" t="s">
        <v>998</v>
      </c>
      <c r="B1238" s="21" t="s">
        <v>652</v>
      </c>
      <c r="C1238" s="21" t="s">
        <v>394</v>
      </c>
      <c r="D1238" s="22" t="s">
        <v>653</v>
      </c>
      <c r="E1238" s="45">
        <v>610</v>
      </c>
      <c r="F1238" s="294">
        <v>320</v>
      </c>
      <c r="G1238" s="26"/>
      <c r="H1238" s="13"/>
    </row>
    <row r="1239" spans="1:8" ht="31.5" customHeight="1" x14ac:dyDescent="0.2">
      <c r="A1239" s="20" t="s">
        <v>654</v>
      </c>
      <c r="B1239" s="21" t="s">
        <v>652</v>
      </c>
      <c r="C1239" s="21" t="s">
        <v>394</v>
      </c>
      <c r="D1239" s="22" t="s">
        <v>655</v>
      </c>
      <c r="E1239" s="21" t="s">
        <v>13</v>
      </c>
      <c r="F1239" s="294">
        <f>F1240</f>
        <v>67784.7</v>
      </c>
      <c r="G1239" s="12"/>
      <c r="H1239" s="13"/>
    </row>
    <row r="1240" spans="1:8" ht="31.5" customHeight="1" x14ac:dyDescent="0.2">
      <c r="A1240" s="20" t="s">
        <v>40</v>
      </c>
      <c r="B1240" s="21" t="s">
        <v>652</v>
      </c>
      <c r="C1240" s="21" t="s">
        <v>394</v>
      </c>
      <c r="D1240" s="22" t="s">
        <v>656</v>
      </c>
      <c r="E1240" s="21"/>
      <c r="F1240" s="294">
        <f>F1241+F1242</f>
        <v>67784.7</v>
      </c>
      <c r="G1240" s="12"/>
      <c r="H1240" s="13"/>
    </row>
    <row r="1241" spans="1:8" ht="23.25" customHeight="1" x14ac:dyDescent="0.2">
      <c r="A1241" s="20" t="s">
        <v>998</v>
      </c>
      <c r="B1241" s="21" t="s">
        <v>652</v>
      </c>
      <c r="C1241" s="21" t="s">
        <v>394</v>
      </c>
      <c r="D1241" s="22" t="s">
        <v>656</v>
      </c>
      <c r="E1241" s="45">
        <v>610</v>
      </c>
      <c r="F1241" s="294">
        <f>31753.5+16491.2</f>
        <v>48244.7</v>
      </c>
      <c r="G1241" s="85"/>
      <c r="H1241" s="13"/>
    </row>
    <row r="1242" spans="1:8" ht="22.5" customHeight="1" x14ac:dyDescent="0.2">
      <c r="A1242" s="20" t="s">
        <v>997</v>
      </c>
      <c r="B1242" s="21" t="s">
        <v>652</v>
      </c>
      <c r="C1242" s="21" t="s">
        <v>394</v>
      </c>
      <c r="D1242" s="22" t="s">
        <v>656</v>
      </c>
      <c r="E1242" s="21">
        <v>620</v>
      </c>
      <c r="F1242" s="294">
        <f>13500+6040</f>
        <v>19540</v>
      </c>
      <c r="G1242" s="85"/>
      <c r="H1242" s="13"/>
    </row>
    <row r="1243" spans="1:8" ht="22.5" customHeight="1" x14ac:dyDescent="0.2">
      <c r="A1243" s="14" t="s">
        <v>657</v>
      </c>
      <c r="B1243" s="21" t="s">
        <v>652</v>
      </c>
      <c r="C1243" s="42" t="s">
        <v>394</v>
      </c>
      <c r="D1243" s="8" t="s">
        <v>658</v>
      </c>
      <c r="E1243" s="7" t="s">
        <v>13</v>
      </c>
      <c r="F1243" s="294">
        <f>F1244</f>
        <v>2294.3000000000002</v>
      </c>
      <c r="G1243" s="85"/>
      <c r="H1243" s="13"/>
    </row>
    <row r="1244" spans="1:8" ht="22.5" customHeight="1" x14ac:dyDescent="0.2">
      <c r="A1244" s="14" t="s">
        <v>40</v>
      </c>
      <c r="B1244" s="21" t="s">
        <v>652</v>
      </c>
      <c r="C1244" s="42" t="s">
        <v>394</v>
      </c>
      <c r="D1244" s="8" t="s">
        <v>659</v>
      </c>
      <c r="E1244" s="7"/>
      <c r="F1244" s="294">
        <f>F1245</f>
        <v>2294.3000000000002</v>
      </c>
      <c r="G1244" s="85"/>
      <c r="H1244" s="13"/>
    </row>
    <row r="1245" spans="1:8" ht="22.5" customHeight="1" x14ac:dyDescent="0.2">
      <c r="A1245" s="14" t="s">
        <v>998</v>
      </c>
      <c r="B1245" s="21" t="s">
        <v>652</v>
      </c>
      <c r="C1245" s="42" t="s">
        <v>394</v>
      </c>
      <c r="D1245" s="8" t="s">
        <v>659</v>
      </c>
      <c r="E1245" s="303">
        <v>610</v>
      </c>
      <c r="F1245" s="295">
        <v>2294.3000000000002</v>
      </c>
      <c r="G1245" s="85"/>
      <c r="H1245" s="13"/>
    </row>
    <row r="1246" spans="1:8" ht="15.75" customHeight="1" x14ac:dyDescent="0.2">
      <c r="A1246" s="20" t="s">
        <v>670</v>
      </c>
      <c r="B1246" s="21" t="s">
        <v>652</v>
      </c>
      <c r="C1246" s="21" t="s">
        <v>671</v>
      </c>
      <c r="D1246" s="22" t="s">
        <v>13</v>
      </c>
      <c r="E1246" s="21" t="s">
        <v>13</v>
      </c>
      <c r="F1246" s="294">
        <f>F1247+F1253+F1257+F1270+F1284</f>
        <v>118810.40000000001</v>
      </c>
      <c r="G1246" s="12"/>
      <c r="H1246" s="13"/>
    </row>
    <row r="1247" spans="1:8" ht="47.25" customHeight="1" x14ac:dyDescent="0.2">
      <c r="A1247" s="20" t="s">
        <v>75</v>
      </c>
      <c r="B1247" s="21" t="s">
        <v>652</v>
      </c>
      <c r="C1247" s="21" t="s">
        <v>671</v>
      </c>
      <c r="D1247" s="22" t="s">
        <v>76</v>
      </c>
      <c r="E1247" s="21" t="s">
        <v>13</v>
      </c>
      <c r="F1247" s="294">
        <f>F1248</f>
        <v>25</v>
      </c>
      <c r="G1247" s="12"/>
      <c r="H1247" s="13"/>
    </row>
    <row r="1248" spans="1:8" ht="15.75" customHeight="1" x14ac:dyDescent="0.2">
      <c r="A1248" s="20" t="s">
        <v>77</v>
      </c>
      <c r="B1248" s="21" t="s">
        <v>652</v>
      </c>
      <c r="C1248" s="21" t="s">
        <v>671</v>
      </c>
      <c r="D1248" s="22" t="s">
        <v>78</v>
      </c>
      <c r="E1248" s="21" t="s">
        <v>13</v>
      </c>
      <c r="F1248" s="294">
        <f>F1249+F1251</f>
        <v>25</v>
      </c>
      <c r="G1248" s="12"/>
      <c r="H1248" s="13"/>
    </row>
    <row r="1249" spans="1:8" ht="15.75" customHeight="1" x14ac:dyDescent="0.2">
      <c r="A1249" s="24" t="s">
        <v>47</v>
      </c>
      <c r="B1249" s="21" t="s">
        <v>652</v>
      </c>
      <c r="C1249" s="21" t="s">
        <v>671</v>
      </c>
      <c r="D1249" s="22" t="s">
        <v>79</v>
      </c>
      <c r="E1249" s="21"/>
      <c r="F1249" s="294">
        <f>F1250</f>
        <v>25</v>
      </c>
      <c r="G1249" s="12"/>
      <c r="H1249" s="13"/>
    </row>
    <row r="1250" spans="1:8" ht="31.5" customHeight="1" x14ac:dyDescent="0.2">
      <c r="A1250" s="20" t="s">
        <v>25</v>
      </c>
      <c r="B1250" s="21" t="s">
        <v>652</v>
      </c>
      <c r="C1250" s="21" t="s">
        <v>671</v>
      </c>
      <c r="D1250" s="22" t="s">
        <v>79</v>
      </c>
      <c r="E1250" s="21">
        <v>120</v>
      </c>
      <c r="F1250" s="294">
        <v>25</v>
      </c>
      <c r="G1250" s="15"/>
      <c r="H1250" s="13"/>
    </row>
    <row r="1251" spans="1:8" ht="30.75" customHeight="1" x14ac:dyDescent="0.2">
      <c r="A1251" s="24" t="s">
        <v>80</v>
      </c>
      <c r="B1251" s="21" t="s">
        <v>652</v>
      </c>
      <c r="C1251" s="21" t="s">
        <v>671</v>
      </c>
      <c r="D1251" s="22" t="s">
        <v>81</v>
      </c>
      <c r="E1251" s="21"/>
      <c r="F1251" s="294">
        <f>F1252</f>
        <v>0</v>
      </c>
      <c r="G1251" s="30"/>
      <c r="H1251" s="13"/>
    </row>
    <row r="1252" spans="1:8" ht="47.25" customHeight="1" x14ac:dyDescent="0.2">
      <c r="A1252" s="14" t="s">
        <v>43</v>
      </c>
      <c r="B1252" s="21" t="s">
        <v>652</v>
      </c>
      <c r="C1252" s="21" t="s">
        <v>671</v>
      </c>
      <c r="D1252" s="22" t="s">
        <v>81</v>
      </c>
      <c r="E1252" s="21">
        <v>240</v>
      </c>
      <c r="F1252" s="294">
        <f>25-25</f>
        <v>0</v>
      </c>
      <c r="G1252" s="132"/>
      <c r="H1252" s="13"/>
    </row>
    <row r="1253" spans="1:8" ht="47.25" customHeight="1" x14ac:dyDescent="0.2">
      <c r="A1253" s="20" t="s">
        <v>672</v>
      </c>
      <c r="B1253" s="21" t="s">
        <v>652</v>
      </c>
      <c r="C1253" s="21" t="s">
        <v>671</v>
      </c>
      <c r="D1253" s="22" t="s">
        <v>673</v>
      </c>
      <c r="E1253" s="21" t="s">
        <v>13</v>
      </c>
      <c r="F1253" s="294">
        <f>F1254</f>
        <v>60</v>
      </c>
      <c r="G1253" s="12"/>
      <c r="H1253" s="13"/>
    </row>
    <row r="1254" spans="1:8" ht="31.5" customHeight="1" x14ac:dyDescent="0.2">
      <c r="A1254" s="20" t="s">
        <v>674</v>
      </c>
      <c r="B1254" s="21" t="s">
        <v>652</v>
      </c>
      <c r="C1254" s="21" t="s">
        <v>671</v>
      </c>
      <c r="D1254" s="22" t="s">
        <v>675</v>
      </c>
      <c r="E1254" s="21" t="s">
        <v>13</v>
      </c>
      <c r="F1254" s="294">
        <f>F1255</f>
        <v>60</v>
      </c>
      <c r="G1254" s="12"/>
      <c r="H1254" s="13"/>
    </row>
    <row r="1255" spans="1:8" ht="31.5" customHeight="1" x14ac:dyDescent="0.2">
      <c r="A1255" s="20" t="s">
        <v>40</v>
      </c>
      <c r="B1255" s="21" t="s">
        <v>652</v>
      </c>
      <c r="C1255" s="21" t="s">
        <v>671</v>
      </c>
      <c r="D1255" s="22" t="s">
        <v>676</v>
      </c>
      <c r="E1255" s="21"/>
      <c r="F1255" s="294">
        <f>F1256</f>
        <v>60</v>
      </c>
      <c r="G1255" s="12"/>
      <c r="H1255" s="13"/>
    </row>
    <row r="1256" spans="1:8" ht="15.75" customHeight="1" x14ac:dyDescent="0.2">
      <c r="A1256" s="20" t="s">
        <v>998</v>
      </c>
      <c r="B1256" s="21" t="s">
        <v>652</v>
      </c>
      <c r="C1256" s="21" t="s">
        <v>671</v>
      </c>
      <c r="D1256" s="22" t="s">
        <v>676</v>
      </c>
      <c r="E1256" s="303">
        <v>610</v>
      </c>
      <c r="F1256" s="294">
        <v>60</v>
      </c>
      <c r="G1256" s="84"/>
      <c r="H1256" s="13"/>
    </row>
    <row r="1257" spans="1:8" ht="63" customHeight="1" x14ac:dyDescent="0.2">
      <c r="A1257" s="20" t="s">
        <v>92</v>
      </c>
      <c r="B1257" s="21" t="s">
        <v>652</v>
      </c>
      <c r="C1257" s="21" t="s">
        <v>671</v>
      </c>
      <c r="D1257" s="22" t="s">
        <v>93</v>
      </c>
      <c r="E1257" s="21" t="s">
        <v>13</v>
      </c>
      <c r="F1257" s="294">
        <f>F1258+F1262+F1266</f>
        <v>372</v>
      </c>
      <c r="G1257" s="12"/>
      <c r="H1257" s="13"/>
    </row>
    <row r="1258" spans="1:8" ht="31.5" customHeight="1" x14ac:dyDescent="0.2">
      <c r="A1258" s="20" t="s">
        <v>177</v>
      </c>
      <c r="B1258" s="21" t="s">
        <v>652</v>
      </c>
      <c r="C1258" s="21" t="s">
        <v>671</v>
      </c>
      <c r="D1258" s="22" t="s">
        <v>178</v>
      </c>
      <c r="E1258" s="21" t="s">
        <v>13</v>
      </c>
      <c r="F1258" s="294">
        <f>F1259</f>
        <v>115</v>
      </c>
      <c r="G1258" s="12"/>
      <c r="H1258" s="13"/>
    </row>
    <row r="1259" spans="1:8" ht="31.5" customHeight="1" x14ac:dyDescent="0.2">
      <c r="A1259" s="20" t="s">
        <v>373</v>
      </c>
      <c r="B1259" s="21" t="s">
        <v>652</v>
      </c>
      <c r="C1259" s="21" t="s">
        <v>671</v>
      </c>
      <c r="D1259" s="22" t="s">
        <v>374</v>
      </c>
      <c r="E1259" s="21" t="s">
        <v>13</v>
      </c>
      <c r="F1259" s="294">
        <f>F1260</f>
        <v>115</v>
      </c>
      <c r="G1259" s="12"/>
      <c r="H1259" s="13"/>
    </row>
    <row r="1260" spans="1:8" ht="31.5" customHeight="1" x14ac:dyDescent="0.2">
      <c r="A1260" s="20" t="s">
        <v>40</v>
      </c>
      <c r="B1260" s="21" t="s">
        <v>652</v>
      </c>
      <c r="C1260" s="21" t="s">
        <v>671</v>
      </c>
      <c r="D1260" s="22" t="s">
        <v>375</v>
      </c>
      <c r="E1260" s="21"/>
      <c r="F1260" s="294">
        <f>F1261</f>
        <v>115</v>
      </c>
      <c r="G1260" s="12"/>
      <c r="H1260" s="13"/>
    </row>
    <row r="1261" spans="1:8" ht="15.75" customHeight="1" x14ac:dyDescent="0.2">
      <c r="A1261" s="20" t="s">
        <v>998</v>
      </c>
      <c r="B1261" s="21" t="s">
        <v>652</v>
      </c>
      <c r="C1261" s="21" t="s">
        <v>671</v>
      </c>
      <c r="D1261" s="22" t="s">
        <v>375</v>
      </c>
      <c r="E1261" s="303">
        <v>610</v>
      </c>
      <c r="F1261" s="294">
        <v>115</v>
      </c>
      <c r="G1261" s="12"/>
      <c r="H1261" s="13"/>
    </row>
    <row r="1262" spans="1:8" ht="47.25" customHeight="1" x14ac:dyDescent="0.2">
      <c r="A1262" s="20" t="s">
        <v>376</v>
      </c>
      <c r="B1262" s="21" t="s">
        <v>652</v>
      </c>
      <c r="C1262" s="21" t="s">
        <v>671</v>
      </c>
      <c r="D1262" s="22" t="s">
        <v>377</v>
      </c>
      <c r="E1262" s="21" t="s">
        <v>13</v>
      </c>
      <c r="F1262" s="294">
        <f>F1263</f>
        <v>37</v>
      </c>
      <c r="G1262" s="12"/>
      <c r="H1262" s="13"/>
    </row>
    <row r="1263" spans="1:8" ht="31.5" customHeight="1" x14ac:dyDescent="0.2">
      <c r="A1263" s="20" t="s">
        <v>628</v>
      </c>
      <c r="B1263" s="21" t="s">
        <v>652</v>
      </c>
      <c r="C1263" s="21" t="s">
        <v>671</v>
      </c>
      <c r="D1263" s="22" t="s">
        <v>629</v>
      </c>
      <c r="E1263" s="21" t="s">
        <v>13</v>
      </c>
      <c r="F1263" s="294">
        <f>F1264</f>
        <v>37</v>
      </c>
      <c r="G1263" s="12"/>
      <c r="H1263" s="13"/>
    </row>
    <row r="1264" spans="1:8" ht="31.5" customHeight="1" x14ac:dyDescent="0.2">
      <c r="A1264" s="20" t="s">
        <v>40</v>
      </c>
      <c r="B1264" s="21" t="s">
        <v>652</v>
      </c>
      <c r="C1264" s="21" t="s">
        <v>671</v>
      </c>
      <c r="D1264" s="22" t="s">
        <v>631</v>
      </c>
      <c r="E1264" s="21"/>
      <c r="F1264" s="294">
        <f>F1265</f>
        <v>37</v>
      </c>
      <c r="G1264" s="12"/>
      <c r="H1264" s="13"/>
    </row>
    <row r="1265" spans="1:8" ht="15.75" customHeight="1" x14ac:dyDescent="0.2">
      <c r="A1265" s="20" t="s">
        <v>998</v>
      </c>
      <c r="B1265" s="21" t="s">
        <v>652</v>
      </c>
      <c r="C1265" s="21" t="s">
        <v>671</v>
      </c>
      <c r="D1265" s="8" t="s">
        <v>631</v>
      </c>
      <c r="E1265" s="303">
        <v>610</v>
      </c>
      <c r="F1265" s="294">
        <v>37</v>
      </c>
      <c r="G1265" s="58"/>
      <c r="H1265" s="13"/>
    </row>
    <row r="1266" spans="1:8" ht="47.25" customHeight="1" x14ac:dyDescent="0.2">
      <c r="A1266" s="20" t="s">
        <v>184</v>
      </c>
      <c r="B1266" s="21" t="s">
        <v>652</v>
      </c>
      <c r="C1266" s="21" t="s">
        <v>671</v>
      </c>
      <c r="D1266" s="22" t="s">
        <v>185</v>
      </c>
      <c r="E1266" s="21" t="s">
        <v>13</v>
      </c>
      <c r="F1266" s="294">
        <f>F1267</f>
        <v>220</v>
      </c>
      <c r="G1266" s="12"/>
      <c r="H1266" s="13"/>
    </row>
    <row r="1267" spans="1:8" ht="141.75" customHeight="1" x14ac:dyDescent="0.2">
      <c r="A1267" s="20" t="s">
        <v>186</v>
      </c>
      <c r="B1267" s="21" t="s">
        <v>652</v>
      </c>
      <c r="C1267" s="21" t="s">
        <v>671</v>
      </c>
      <c r="D1267" s="22" t="s">
        <v>187</v>
      </c>
      <c r="E1267" s="21" t="s">
        <v>13</v>
      </c>
      <c r="F1267" s="294">
        <f>F1268</f>
        <v>220</v>
      </c>
      <c r="G1267" s="12"/>
      <c r="H1267" s="13"/>
    </row>
    <row r="1268" spans="1:8" ht="31.5" customHeight="1" x14ac:dyDescent="0.2">
      <c r="A1268" s="20" t="s">
        <v>40</v>
      </c>
      <c r="B1268" s="21" t="s">
        <v>652</v>
      </c>
      <c r="C1268" s="21" t="s">
        <v>671</v>
      </c>
      <c r="D1268" s="22" t="s">
        <v>188</v>
      </c>
      <c r="E1268" s="21"/>
      <c r="F1268" s="294">
        <f>F1269</f>
        <v>220</v>
      </c>
      <c r="G1268" s="12"/>
      <c r="H1268" s="13"/>
    </row>
    <row r="1269" spans="1:8" ht="15.75" customHeight="1" x14ac:dyDescent="0.2">
      <c r="A1269" s="20" t="s">
        <v>998</v>
      </c>
      <c r="B1269" s="21" t="s">
        <v>652</v>
      </c>
      <c r="C1269" s="21" t="s">
        <v>671</v>
      </c>
      <c r="D1269" s="22" t="s">
        <v>188</v>
      </c>
      <c r="E1269" s="303">
        <v>610</v>
      </c>
      <c r="F1269" s="294">
        <v>220</v>
      </c>
      <c r="G1269" s="86"/>
      <c r="H1269" s="13"/>
    </row>
    <row r="1270" spans="1:8" ht="31.5" customHeight="1" x14ac:dyDescent="0.2">
      <c r="A1270" s="20" t="s">
        <v>369</v>
      </c>
      <c r="B1270" s="21" t="s">
        <v>652</v>
      </c>
      <c r="C1270" s="21" t="s">
        <v>671</v>
      </c>
      <c r="D1270" s="22" t="s">
        <v>370</v>
      </c>
      <c r="E1270" s="21" t="s">
        <v>13</v>
      </c>
      <c r="F1270" s="294">
        <f>F1271+F1274+F1279</f>
        <v>88269.1</v>
      </c>
      <c r="G1270" s="12"/>
      <c r="H1270" s="13"/>
    </row>
    <row r="1271" spans="1:8" ht="31.5" customHeight="1" x14ac:dyDescent="0.2">
      <c r="A1271" s="20" t="s">
        <v>654</v>
      </c>
      <c r="B1271" s="21" t="s">
        <v>652</v>
      </c>
      <c r="C1271" s="21" t="s">
        <v>671</v>
      </c>
      <c r="D1271" s="22" t="s">
        <v>655</v>
      </c>
      <c r="E1271" s="21" t="s">
        <v>13</v>
      </c>
      <c r="F1271" s="294">
        <f>F1272</f>
        <v>400</v>
      </c>
      <c r="G1271" s="12"/>
      <c r="H1271" s="13"/>
    </row>
    <row r="1272" spans="1:8" ht="31.5" customHeight="1" x14ac:dyDescent="0.2">
      <c r="A1272" s="20" t="s">
        <v>613</v>
      </c>
      <c r="B1272" s="21" t="s">
        <v>652</v>
      </c>
      <c r="C1272" s="21" t="s">
        <v>671</v>
      </c>
      <c r="D1272" s="22" t="s">
        <v>677</v>
      </c>
      <c r="E1272" s="21"/>
      <c r="F1272" s="294">
        <f>F1273</f>
        <v>400</v>
      </c>
      <c r="G1272" s="12"/>
      <c r="H1272" s="13"/>
    </row>
    <row r="1273" spans="1:8" ht="31.5" customHeight="1" x14ac:dyDescent="0.2">
      <c r="A1273" s="14" t="s">
        <v>43</v>
      </c>
      <c r="B1273" s="21" t="s">
        <v>652</v>
      </c>
      <c r="C1273" s="21" t="s">
        <v>671</v>
      </c>
      <c r="D1273" s="22" t="s">
        <v>677</v>
      </c>
      <c r="E1273" s="21">
        <v>240</v>
      </c>
      <c r="F1273" s="294">
        <v>400</v>
      </c>
      <c r="G1273" s="12"/>
      <c r="H1273" s="13"/>
    </row>
    <row r="1274" spans="1:8" ht="64.5" customHeight="1" x14ac:dyDescent="0.2">
      <c r="A1274" s="231" t="s">
        <v>961</v>
      </c>
      <c r="B1274" s="21" t="s">
        <v>652</v>
      </c>
      <c r="C1274" s="21" t="s">
        <v>671</v>
      </c>
      <c r="D1274" s="22" t="s">
        <v>934</v>
      </c>
      <c r="E1274" s="21"/>
      <c r="F1274" s="294">
        <f>F1275+F1277</f>
        <v>61133.8</v>
      </c>
      <c r="G1274" s="12"/>
      <c r="H1274" s="13"/>
    </row>
    <row r="1275" spans="1:8" ht="63" customHeight="1" x14ac:dyDescent="0.2">
      <c r="A1275" s="232" t="s">
        <v>932</v>
      </c>
      <c r="B1275" s="21" t="s">
        <v>652</v>
      </c>
      <c r="C1275" s="21" t="s">
        <v>671</v>
      </c>
      <c r="D1275" s="22" t="s">
        <v>873</v>
      </c>
      <c r="E1275" s="21"/>
      <c r="F1275" s="294">
        <f>F1276</f>
        <v>54843.8</v>
      </c>
      <c r="G1275" s="251"/>
      <c r="H1275" s="13"/>
    </row>
    <row r="1276" spans="1:8" ht="31.5" x14ac:dyDescent="0.2">
      <c r="A1276" s="231" t="s">
        <v>476</v>
      </c>
      <c r="B1276" s="21" t="s">
        <v>652</v>
      </c>
      <c r="C1276" s="21" t="s">
        <v>671</v>
      </c>
      <c r="D1276" s="22" t="s">
        <v>873</v>
      </c>
      <c r="E1276" s="7">
        <v>630</v>
      </c>
      <c r="F1276" s="294">
        <f>9843.8+45000</f>
        <v>54843.8</v>
      </c>
      <c r="G1276" s="85"/>
      <c r="H1276" s="13"/>
    </row>
    <row r="1277" spans="1:8" ht="48" customHeight="1" x14ac:dyDescent="0.2">
      <c r="A1277" s="234" t="s">
        <v>933</v>
      </c>
      <c r="B1277" s="21" t="s">
        <v>652</v>
      </c>
      <c r="C1277" s="21" t="s">
        <v>671</v>
      </c>
      <c r="D1277" s="22" t="s">
        <v>931</v>
      </c>
      <c r="E1277" s="7"/>
      <c r="F1277" s="294">
        <f>F1278</f>
        <v>6290</v>
      </c>
      <c r="G1277" s="194"/>
      <c r="H1277" s="13"/>
    </row>
    <row r="1278" spans="1:8" ht="31.5" x14ac:dyDescent="0.2">
      <c r="A1278" s="231" t="s">
        <v>476</v>
      </c>
      <c r="B1278" s="21" t="s">
        <v>652</v>
      </c>
      <c r="C1278" s="21" t="s">
        <v>671</v>
      </c>
      <c r="D1278" s="22" t="s">
        <v>931</v>
      </c>
      <c r="E1278" s="7">
        <v>630</v>
      </c>
      <c r="F1278" s="294">
        <v>6290</v>
      </c>
      <c r="G1278" s="230"/>
      <c r="H1278" s="13"/>
    </row>
    <row r="1279" spans="1:8" ht="51" customHeight="1" x14ac:dyDescent="0.2">
      <c r="A1279" s="233" t="s">
        <v>938</v>
      </c>
      <c r="B1279" s="21" t="s">
        <v>652</v>
      </c>
      <c r="C1279" s="95" t="s">
        <v>671</v>
      </c>
      <c r="D1279" s="8" t="s">
        <v>939</v>
      </c>
      <c r="E1279" s="95"/>
      <c r="F1279" s="294">
        <f>F1280</f>
        <v>26735.3</v>
      </c>
      <c r="G1279" s="235"/>
      <c r="H1279" s="13"/>
    </row>
    <row r="1280" spans="1:8" ht="31.5" customHeight="1" x14ac:dyDescent="0.2">
      <c r="A1280" s="97" t="s">
        <v>40</v>
      </c>
      <c r="B1280" s="21" t="s">
        <v>652</v>
      </c>
      <c r="C1280" s="95" t="s">
        <v>671</v>
      </c>
      <c r="D1280" s="8" t="s">
        <v>940</v>
      </c>
      <c r="E1280" s="95"/>
      <c r="F1280" s="294">
        <f>F1281+F1282+F1283</f>
        <v>26735.3</v>
      </c>
      <c r="G1280" s="235"/>
      <c r="H1280" s="13"/>
    </row>
    <row r="1281" spans="1:8" ht="31.5" customHeight="1" x14ac:dyDescent="0.2">
      <c r="A1281" s="97" t="s">
        <v>42</v>
      </c>
      <c r="B1281" s="21" t="s">
        <v>652</v>
      </c>
      <c r="C1281" s="95" t="s">
        <v>671</v>
      </c>
      <c r="D1281" s="8" t="s">
        <v>940</v>
      </c>
      <c r="E1281" s="95">
        <v>110</v>
      </c>
      <c r="F1281" s="294">
        <f>24345.3+904.8</f>
        <v>25250.1</v>
      </c>
      <c r="G1281" s="236"/>
      <c r="H1281" s="13"/>
    </row>
    <row r="1282" spans="1:8" ht="31.5" customHeight="1" x14ac:dyDescent="0.2">
      <c r="A1282" s="14" t="s">
        <v>43</v>
      </c>
      <c r="B1282" s="21" t="s">
        <v>652</v>
      </c>
      <c r="C1282" s="95" t="s">
        <v>671</v>
      </c>
      <c r="D1282" s="8" t="s">
        <v>940</v>
      </c>
      <c r="E1282" s="95">
        <v>240</v>
      </c>
      <c r="F1282" s="294">
        <v>1463.2</v>
      </c>
      <c r="G1282" s="236"/>
      <c r="H1282" s="13"/>
    </row>
    <row r="1283" spans="1:8" ht="31.5" customHeight="1" x14ac:dyDescent="0.2">
      <c r="A1283" s="97" t="s">
        <v>44</v>
      </c>
      <c r="B1283" s="21" t="s">
        <v>652</v>
      </c>
      <c r="C1283" s="95" t="s">
        <v>671</v>
      </c>
      <c r="D1283" s="8" t="s">
        <v>940</v>
      </c>
      <c r="E1283" s="95">
        <v>850</v>
      </c>
      <c r="F1283" s="294">
        <v>22</v>
      </c>
      <c r="G1283" s="236"/>
      <c r="H1283" s="13"/>
    </row>
    <row r="1284" spans="1:8" ht="31.5" customHeight="1" x14ac:dyDescent="0.2">
      <c r="A1284" s="20" t="s">
        <v>18</v>
      </c>
      <c r="B1284" s="21" t="s">
        <v>652</v>
      </c>
      <c r="C1284" s="21" t="s">
        <v>671</v>
      </c>
      <c r="D1284" s="22" t="s">
        <v>19</v>
      </c>
      <c r="E1284" s="21" t="s">
        <v>13</v>
      </c>
      <c r="F1284" s="294">
        <f>F1285</f>
        <v>30084.3</v>
      </c>
      <c r="G1284" s="16"/>
      <c r="H1284" s="13"/>
    </row>
    <row r="1285" spans="1:8" ht="15.75" customHeight="1" x14ac:dyDescent="0.2">
      <c r="A1285" s="20" t="s">
        <v>62</v>
      </c>
      <c r="B1285" s="21" t="s">
        <v>652</v>
      </c>
      <c r="C1285" s="21" t="s">
        <v>671</v>
      </c>
      <c r="D1285" s="22" t="s">
        <v>63</v>
      </c>
      <c r="E1285" s="21"/>
      <c r="F1285" s="294">
        <f>F1286</f>
        <v>30084.3</v>
      </c>
      <c r="G1285" s="12"/>
      <c r="H1285" s="13"/>
    </row>
    <row r="1286" spans="1:8" ht="15.75" customHeight="1" x14ac:dyDescent="0.2">
      <c r="A1286" s="20" t="s">
        <v>29</v>
      </c>
      <c r="B1286" s="21" t="s">
        <v>652</v>
      </c>
      <c r="C1286" s="21" t="s">
        <v>671</v>
      </c>
      <c r="D1286" s="22" t="s">
        <v>64</v>
      </c>
      <c r="E1286" s="21"/>
      <c r="F1286" s="294">
        <f>F1287</f>
        <v>30084.3</v>
      </c>
      <c r="G1286" s="12"/>
      <c r="H1286" s="13"/>
    </row>
    <row r="1287" spans="1:8" ht="15.75" customHeight="1" x14ac:dyDescent="0.2">
      <c r="A1287" s="14" t="s">
        <v>773</v>
      </c>
      <c r="B1287" s="21" t="s">
        <v>652</v>
      </c>
      <c r="C1287" s="21" t="s">
        <v>671</v>
      </c>
      <c r="D1287" s="22" t="s">
        <v>65</v>
      </c>
      <c r="E1287" s="21"/>
      <c r="F1287" s="294">
        <f>F1288</f>
        <v>30084.3</v>
      </c>
      <c r="G1287" s="12"/>
      <c r="H1287" s="13"/>
    </row>
    <row r="1288" spans="1:8" ht="31.5" customHeight="1" x14ac:dyDescent="0.2">
      <c r="A1288" s="20" t="s">
        <v>25</v>
      </c>
      <c r="B1288" s="21" t="s">
        <v>652</v>
      </c>
      <c r="C1288" s="21" t="s">
        <v>671</v>
      </c>
      <c r="D1288" s="22" t="s">
        <v>65</v>
      </c>
      <c r="E1288" s="21">
        <v>120</v>
      </c>
      <c r="F1288" s="294">
        <f>29040+1044.3</f>
        <v>30084.3</v>
      </c>
      <c r="G1288" s="62"/>
      <c r="H1288" s="13"/>
    </row>
    <row r="1289" spans="1:8" ht="15.75" customHeight="1" x14ac:dyDescent="0.2">
      <c r="A1289" s="34" t="s">
        <v>396</v>
      </c>
      <c r="B1289" s="35" t="s">
        <v>652</v>
      </c>
      <c r="C1289" s="35" t="s">
        <v>397</v>
      </c>
      <c r="D1289" s="36" t="s">
        <v>13</v>
      </c>
      <c r="E1289" s="35" t="s">
        <v>13</v>
      </c>
      <c r="F1289" s="297">
        <f>F1290+F1303</f>
        <v>4264.3999999999996</v>
      </c>
      <c r="G1289" s="12"/>
      <c r="H1289" s="13"/>
    </row>
    <row r="1290" spans="1:8" ht="15.75" customHeight="1" x14ac:dyDescent="0.2">
      <c r="A1290" s="20" t="s">
        <v>404</v>
      </c>
      <c r="B1290" s="21" t="s">
        <v>652</v>
      </c>
      <c r="C1290" s="21" t="s">
        <v>405</v>
      </c>
      <c r="D1290" s="22" t="s">
        <v>13</v>
      </c>
      <c r="E1290" s="21" t="s">
        <v>13</v>
      </c>
      <c r="F1290" s="294">
        <f>F1291</f>
        <v>4012.4</v>
      </c>
      <c r="G1290" s="12"/>
      <c r="H1290" s="13"/>
    </row>
    <row r="1291" spans="1:8" ht="31.5" customHeight="1" x14ac:dyDescent="0.2">
      <c r="A1291" s="20" t="s">
        <v>369</v>
      </c>
      <c r="B1291" s="21" t="s">
        <v>652</v>
      </c>
      <c r="C1291" s="21" t="s">
        <v>405</v>
      </c>
      <c r="D1291" s="22" t="s">
        <v>370</v>
      </c>
      <c r="E1291" s="21" t="s">
        <v>13</v>
      </c>
      <c r="F1291" s="294">
        <f>F1292</f>
        <v>4012.4</v>
      </c>
      <c r="G1291" s="12"/>
      <c r="H1291" s="13"/>
    </row>
    <row r="1292" spans="1:8" ht="15.75" customHeight="1" x14ac:dyDescent="0.2">
      <c r="A1292" s="20" t="s">
        <v>395</v>
      </c>
      <c r="B1292" s="21" t="s">
        <v>652</v>
      </c>
      <c r="C1292" s="21" t="s">
        <v>405</v>
      </c>
      <c r="D1292" s="22" t="s">
        <v>371</v>
      </c>
      <c r="E1292" s="21"/>
      <c r="F1292" s="294">
        <f>F1293+F1295+F1297+F1299+F1301</f>
        <v>4012.4</v>
      </c>
      <c r="G1292" s="12"/>
      <c r="H1292" s="13"/>
    </row>
    <row r="1293" spans="1:8" ht="15.75" customHeight="1" x14ac:dyDescent="0.2">
      <c r="A1293" s="20" t="s">
        <v>678</v>
      </c>
      <c r="B1293" s="21" t="s">
        <v>652</v>
      </c>
      <c r="C1293" s="21" t="s">
        <v>405</v>
      </c>
      <c r="D1293" s="22" t="s">
        <v>679</v>
      </c>
      <c r="E1293" s="21" t="s">
        <v>13</v>
      </c>
      <c r="F1293" s="294">
        <f>F1294</f>
        <v>750.5</v>
      </c>
      <c r="G1293" s="12"/>
      <c r="H1293" s="13"/>
    </row>
    <row r="1294" spans="1:8" ht="15.75" customHeight="1" x14ac:dyDescent="0.2">
      <c r="A1294" s="14" t="s">
        <v>403</v>
      </c>
      <c r="B1294" s="7" t="s">
        <v>652</v>
      </c>
      <c r="C1294" s="7" t="s">
        <v>405</v>
      </c>
      <c r="D1294" s="8" t="s">
        <v>679</v>
      </c>
      <c r="E1294" s="7">
        <v>310</v>
      </c>
      <c r="F1294" s="294">
        <v>750.5</v>
      </c>
      <c r="G1294" s="85"/>
      <c r="H1294" s="13"/>
    </row>
    <row r="1295" spans="1:8" ht="63" customHeight="1" x14ac:dyDescent="0.2">
      <c r="A1295" s="20" t="s">
        <v>647</v>
      </c>
      <c r="B1295" s="21" t="s">
        <v>652</v>
      </c>
      <c r="C1295" s="21" t="s">
        <v>405</v>
      </c>
      <c r="D1295" s="22" t="s">
        <v>680</v>
      </c>
      <c r="E1295" s="21"/>
      <c r="F1295" s="294">
        <f>F1296</f>
        <v>150</v>
      </c>
      <c r="G1295" s="26"/>
      <c r="H1295" s="13"/>
    </row>
    <row r="1296" spans="1:8" ht="15.75" customHeight="1" x14ac:dyDescent="0.2">
      <c r="A1296" s="20" t="s">
        <v>998</v>
      </c>
      <c r="B1296" s="21" t="s">
        <v>652</v>
      </c>
      <c r="C1296" s="21" t="s">
        <v>405</v>
      </c>
      <c r="D1296" s="22" t="s">
        <v>680</v>
      </c>
      <c r="E1296" s="303">
        <v>610</v>
      </c>
      <c r="F1296" s="294">
        <v>150</v>
      </c>
      <c r="G1296" s="52"/>
      <c r="H1296" s="13"/>
    </row>
    <row r="1297" spans="1:9" ht="31.5" customHeight="1" x14ac:dyDescent="0.2">
      <c r="A1297" s="20" t="s">
        <v>681</v>
      </c>
      <c r="B1297" s="21" t="s">
        <v>652</v>
      </c>
      <c r="C1297" s="21" t="s">
        <v>405</v>
      </c>
      <c r="D1297" s="22" t="s">
        <v>682</v>
      </c>
      <c r="E1297" s="21" t="s">
        <v>13</v>
      </c>
      <c r="F1297" s="294">
        <f>SUM(F1298)</f>
        <v>671.3</v>
      </c>
      <c r="G1297" s="318"/>
      <c r="H1297" s="13"/>
    </row>
    <row r="1298" spans="1:9" ht="15.75" customHeight="1" x14ac:dyDescent="0.2">
      <c r="A1298" s="20" t="s">
        <v>998</v>
      </c>
      <c r="B1298" s="21" t="s">
        <v>652</v>
      </c>
      <c r="C1298" s="21" t="s">
        <v>405</v>
      </c>
      <c r="D1298" s="22" t="s">
        <v>682</v>
      </c>
      <c r="E1298" s="303">
        <v>610</v>
      </c>
      <c r="F1298" s="294">
        <v>671.3</v>
      </c>
      <c r="G1298" s="188"/>
      <c r="H1298" s="13"/>
    </row>
    <row r="1299" spans="1:9" ht="47.25" customHeight="1" x14ac:dyDescent="0.2">
      <c r="A1299" s="20" t="s">
        <v>643</v>
      </c>
      <c r="B1299" s="21" t="s">
        <v>652</v>
      </c>
      <c r="C1299" s="21" t="s">
        <v>405</v>
      </c>
      <c r="D1299" s="22" t="s">
        <v>683</v>
      </c>
      <c r="E1299" s="21" t="s">
        <v>13</v>
      </c>
      <c r="F1299" s="294">
        <f>SUM(F1300)</f>
        <v>1678.2</v>
      </c>
      <c r="G1299" s="187"/>
      <c r="H1299" s="13"/>
    </row>
    <row r="1300" spans="1:9" ht="15.75" customHeight="1" x14ac:dyDescent="0.2">
      <c r="A1300" s="20" t="s">
        <v>998</v>
      </c>
      <c r="B1300" s="21" t="s">
        <v>652</v>
      </c>
      <c r="C1300" s="21" t="s">
        <v>405</v>
      </c>
      <c r="D1300" s="22" t="s">
        <v>683</v>
      </c>
      <c r="E1300" s="303">
        <v>610</v>
      </c>
      <c r="F1300" s="294">
        <v>1678.2</v>
      </c>
      <c r="G1300" s="189"/>
      <c r="H1300" s="13"/>
    </row>
    <row r="1301" spans="1:9" ht="47.25" customHeight="1" x14ac:dyDescent="0.2">
      <c r="A1301" s="20" t="s">
        <v>645</v>
      </c>
      <c r="B1301" s="21" t="s">
        <v>652</v>
      </c>
      <c r="C1301" s="21" t="s">
        <v>405</v>
      </c>
      <c r="D1301" s="22" t="s">
        <v>684</v>
      </c>
      <c r="E1301" s="21" t="s">
        <v>13</v>
      </c>
      <c r="F1301" s="294">
        <f>SUM(F1302)</f>
        <v>762.4</v>
      </c>
      <c r="G1301" s="187"/>
      <c r="H1301" s="13"/>
    </row>
    <row r="1302" spans="1:9" ht="15.75" customHeight="1" x14ac:dyDescent="0.2">
      <c r="A1302" s="20" t="s">
        <v>998</v>
      </c>
      <c r="B1302" s="21" t="s">
        <v>652</v>
      </c>
      <c r="C1302" s="21" t="s">
        <v>405</v>
      </c>
      <c r="D1302" s="22" t="s">
        <v>684</v>
      </c>
      <c r="E1302" s="303">
        <v>610</v>
      </c>
      <c r="F1302" s="294">
        <v>762.4</v>
      </c>
      <c r="G1302" s="114"/>
      <c r="H1302" s="13"/>
    </row>
    <row r="1303" spans="1:9" ht="15.75" customHeight="1" x14ac:dyDescent="0.2">
      <c r="A1303" s="20" t="s">
        <v>462</v>
      </c>
      <c r="B1303" s="21" t="s">
        <v>652</v>
      </c>
      <c r="C1303" s="21" t="s">
        <v>463</v>
      </c>
      <c r="D1303" s="22" t="s">
        <v>13</v>
      </c>
      <c r="E1303" s="21" t="s">
        <v>13</v>
      </c>
      <c r="F1303" s="294">
        <f>F1304</f>
        <v>252</v>
      </c>
      <c r="G1303" s="12"/>
      <c r="H1303" s="13"/>
    </row>
    <row r="1304" spans="1:9" ht="31.5" customHeight="1" x14ac:dyDescent="0.2">
      <c r="A1304" s="20" t="s">
        <v>102</v>
      </c>
      <c r="B1304" s="21" t="s">
        <v>652</v>
      </c>
      <c r="C1304" s="21" t="s">
        <v>463</v>
      </c>
      <c r="D1304" s="22" t="s">
        <v>103</v>
      </c>
      <c r="E1304" s="21" t="s">
        <v>13</v>
      </c>
      <c r="F1304" s="294">
        <f>F1305</f>
        <v>252</v>
      </c>
      <c r="G1304" s="12"/>
      <c r="H1304" s="13"/>
    </row>
    <row r="1305" spans="1:9" ht="15.75" customHeight="1" x14ac:dyDescent="0.2">
      <c r="A1305" s="20" t="s">
        <v>464</v>
      </c>
      <c r="B1305" s="21" t="s">
        <v>652</v>
      </c>
      <c r="C1305" s="21" t="s">
        <v>463</v>
      </c>
      <c r="D1305" s="22" t="s">
        <v>465</v>
      </c>
      <c r="E1305" s="21" t="s">
        <v>13</v>
      </c>
      <c r="F1305" s="294">
        <f>F1306</f>
        <v>252</v>
      </c>
      <c r="G1305" s="12"/>
      <c r="H1305" s="13"/>
    </row>
    <row r="1306" spans="1:9" ht="31.5" customHeight="1" x14ac:dyDescent="0.2">
      <c r="A1306" s="20" t="s">
        <v>470</v>
      </c>
      <c r="B1306" s="21" t="s">
        <v>652</v>
      </c>
      <c r="C1306" s="21" t="s">
        <v>463</v>
      </c>
      <c r="D1306" s="22" t="s">
        <v>471</v>
      </c>
      <c r="E1306" s="21" t="s">
        <v>13</v>
      </c>
      <c r="F1306" s="294">
        <f>F1307</f>
        <v>252</v>
      </c>
      <c r="G1306" s="12"/>
      <c r="H1306" s="13"/>
    </row>
    <row r="1307" spans="1:9" ht="31.5" customHeight="1" x14ac:dyDescent="0.2">
      <c r="A1307" s="20" t="s">
        <v>40</v>
      </c>
      <c r="B1307" s="21" t="s">
        <v>652</v>
      </c>
      <c r="C1307" s="21" t="s">
        <v>463</v>
      </c>
      <c r="D1307" s="22" t="s">
        <v>685</v>
      </c>
      <c r="E1307" s="21"/>
      <c r="F1307" s="294">
        <f>F1308</f>
        <v>252</v>
      </c>
      <c r="G1307" s="12"/>
      <c r="H1307" s="13"/>
    </row>
    <row r="1308" spans="1:9" ht="15.75" customHeight="1" x14ac:dyDescent="0.2">
      <c r="A1308" s="20" t="s">
        <v>998</v>
      </c>
      <c r="B1308" s="21" t="s">
        <v>652</v>
      </c>
      <c r="C1308" s="21" t="s">
        <v>463</v>
      </c>
      <c r="D1308" s="22" t="s">
        <v>685</v>
      </c>
      <c r="E1308" s="303">
        <v>610</v>
      </c>
      <c r="F1308" s="294">
        <v>252</v>
      </c>
      <c r="G1308" s="17"/>
      <c r="H1308" s="13"/>
    </row>
    <row r="1309" spans="1:9" ht="31.5" customHeight="1" x14ac:dyDescent="0.2">
      <c r="A1309" s="102" t="s">
        <v>686</v>
      </c>
      <c r="B1309" s="103" t="s">
        <v>687</v>
      </c>
      <c r="C1309" s="103" t="s">
        <v>13</v>
      </c>
      <c r="D1309" s="246" t="s">
        <v>13</v>
      </c>
      <c r="E1309" s="103" t="s">
        <v>13</v>
      </c>
      <c r="F1309" s="307">
        <f>F1310+F1321+F1381+F1508+F1502+F1496</f>
        <v>3144819.4</v>
      </c>
      <c r="G1309" s="51"/>
      <c r="H1309" s="51"/>
      <c r="I1309" s="83"/>
    </row>
    <row r="1310" spans="1:9" ht="15.75" customHeight="1" x14ac:dyDescent="0.2">
      <c r="A1310" s="34" t="s">
        <v>14</v>
      </c>
      <c r="B1310" s="35" t="s">
        <v>687</v>
      </c>
      <c r="C1310" s="35" t="s">
        <v>15</v>
      </c>
      <c r="D1310" s="36" t="s">
        <v>13</v>
      </c>
      <c r="E1310" s="35" t="s">
        <v>13</v>
      </c>
      <c r="F1310" s="297">
        <f>F1311</f>
        <v>7010.3</v>
      </c>
      <c r="G1310" s="12"/>
      <c r="H1310" s="13"/>
    </row>
    <row r="1311" spans="1:9" ht="15.75" customHeight="1" x14ac:dyDescent="0.2">
      <c r="A1311" s="20" t="s">
        <v>32</v>
      </c>
      <c r="B1311" s="21" t="s">
        <v>687</v>
      </c>
      <c r="C1311" s="21" t="s">
        <v>33</v>
      </c>
      <c r="D1311" s="22" t="s">
        <v>13</v>
      </c>
      <c r="E1311" s="21" t="s">
        <v>13</v>
      </c>
      <c r="F1311" s="294">
        <f>F1316+F1312</f>
        <v>7010.3</v>
      </c>
      <c r="G1311" s="12"/>
      <c r="H1311" s="13"/>
    </row>
    <row r="1312" spans="1:9" ht="47.25" x14ac:dyDescent="0.2">
      <c r="A1312" s="97" t="s">
        <v>237</v>
      </c>
      <c r="B1312" s="21" t="s">
        <v>687</v>
      </c>
      <c r="C1312" s="95" t="s">
        <v>33</v>
      </c>
      <c r="D1312" s="8" t="s">
        <v>238</v>
      </c>
      <c r="E1312" s="95" t="s">
        <v>13</v>
      </c>
      <c r="F1312" s="294">
        <f>F1313</f>
        <v>630</v>
      </c>
      <c r="G1312" s="90"/>
      <c r="H1312" s="13"/>
    </row>
    <row r="1313" spans="1:8" ht="31.5" x14ac:dyDescent="0.2">
      <c r="A1313" s="97" t="s">
        <v>533</v>
      </c>
      <c r="B1313" s="21" t="s">
        <v>687</v>
      </c>
      <c r="C1313" s="95" t="s">
        <v>33</v>
      </c>
      <c r="D1313" s="8" t="s">
        <v>534</v>
      </c>
      <c r="E1313" s="95" t="s">
        <v>13</v>
      </c>
      <c r="F1313" s="294">
        <f>F1314</f>
        <v>630</v>
      </c>
      <c r="G1313" s="90"/>
      <c r="H1313" s="13"/>
    </row>
    <row r="1314" spans="1:8" ht="31.5" x14ac:dyDescent="0.2">
      <c r="A1314" s="97" t="s">
        <v>109</v>
      </c>
      <c r="B1314" s="21" t="s">
        <v>687</v>
      </c>
      <c r="C1314" s="95" t="s">
        <v>33</v>
      </c>
      <c r="D1314" s="8" t="s">
        <v>966</v>
      </c>
      <c r="E1314" s="95"/>
      <c r="F1314" s="294">
        <f>F1315</f>
        <v>630</v>
      </c>
      <c r="G1314" s="90"/>
      <c r="H1314" s="13"/>
    </row>
    <row r="1315" spans="1:8" ht="31.5" x14ac:dyDescent="0.2">
      <c r="A1315" s="14" t="s">
        <v>43</v>
      </c>
      <c r="B1315" s="21" t="s">
        <v>687</v>
      </c>
      <c r="C1315" s="95" t="s">
        <v>33</v>
      </c>
      <c r="D1315" s="8" t="s">
        <v>966</v>
      </c>
      <c r="E1315" s="95">
        <v>240</v>
      </c>
      <c r="F1315" s="294">
        <v>630</v>
      </c>
      <c r="G1315" s="90"/>
      <c r="H1315" s="13"/>
    </row>
    <row r="1316" spans="1:8" x14ac:dyDescent="0.2">
      <c r="A1316" s="20" t="s">
        <v>34</v>
      </c>
      <c r="B1316" s="21" t="s">
        <v>687</v>
      </c>
      <c r="C1316" s="21" t="s">
        <v>33</v>
      </c>
      <c r="D1316" s="22" t="s">
        <v>35</v>
      </c>
      <c r="E1316" s="21" t="s">
        <v>13</v>
      </c>
      <c r="F1316" s="294">
        <f>F1317</f>
        <v>6380.3</v>
      </c>
      <c r="G1316" s="12"/>
      <c r="H1316" s="13"/>
    </row>
    <row r="1317" spans="1:8" x14ac:dyDescent="0.2">
      <c r="A1317" s="20" t="s">
        <v>45</v>
      </c>
      <c r="B1317" s="21" t="s">
        <v>687</v>
      </c>
      <c r="C1317" s="21" t="s">
        <v>33</v>
      </c>
      <c r="D1317" s="22" t="s">
        <v>46</v>
      </c>
      <c r="E1317" s="21" t="s">
        <v>13</v>
      </c>
      <c r="F1317" s="294">
        <f>F1318</f>
        <v>6380.3</v>
      </c>
      <c r="G1317" s="12"/>
      <c r="H1317" s="13"/>
    </row>
    <row r="1318" spans="1:8" ht="31.5" x14ac:dyDescent="0.2">
      <c r="A1318" s="20" t="s">
        <v>47</v>
      </c>
      <c r="B1318" s="21" t="s">
        <v>687</v>
      </c>
      <c r="C1318" s="21" t="s">
        <v>33</v>
      </c>
      <c r="D1318" s="22" t="s">
        <v>48</v>
      </c>
      <c r="E1318" s="21"/>
      <c r="F1318" s="294">
        <f>SUM(F1319:F1320)</f>
        <v>6380.3</v>
      </c>
      <c r="G1318" s="12"/>
      <c r="H1318" s="13"/>
    </row>
    <row r="1319" spans="1:8" ht="31.5" customHeight="1" x14ac:dyDescent="0.2">
      <c r="A1319" s="14" t="s">
        <v>43</v>
      </c>
      <c r="B1319" s="21" t="s">
        <v>687</v>
      </c>
      <c r="C1319" s="21" t="s">
        <v>33</v>
      </c>
      <c r="D1319" s="22" t="s">
        <v>48</v>
      </c>
      <c r="E1319" s="21">
        <v>240</v>
      </c>
      <c r="F1319" s="294">
        <v>3261.5</v>
      </c>
      <c r="G1319" s="18"/>
      <c r="H1319" s="13"/>
    </row>
    <row r="1320" spans="1:8" ht="15.75" customHeight="1" x14ac:dyDescent="0.2">
      <c r="A1320" s="20" t="s">
        <v>44</v>
      </c>
      <c r="B1320" s="21" t="s">
        <v>687</v>
      </c>
      <c r="C1320" s="21" t="s">
        <v>33</v>
      </c>
      <c r="D1320" s="22" t="s">
        <v>48</v>
      </c>
      <c r="E1320" s="21">
        <v>850</v>
      </c>
      <c r="F1320" s="298">
        <v>3118.8</v>
      </c>
      <c r="G1320" s="17"/>
      <c r="H1320" s="13"/>
    </row>
    <row r="1321" spans="1:8" ht="15.75" customHeight="1" x14ac:dyDescent="0.2">
      <c r="A1321" s="34" t="s">
        <v>189</v>
      </c>
      <c r="B1321" s="35" t="s">
        <v>687</v>
      </c>
      <c r="C1321" s="35" t="s">
        <v>190</v>
      </c>
      <c r="D1321" s="36" t="s">
        <v>13</v>
      </c>
      <c r="E1321" s="35" t="s">
        <v>13</v>
      </c>
      <c r="F1321" s="297">
        <f>F1332+F1322</f>
        <v>1792909.4</v>
      </c>
      <c r="G1321" s="12"/>
      <c r="H1321" s="13"/>
    </row>
    <row r="1322" spans="1:8" ht="15.75" customHeight="1" x14ac:dyDescent="0.2">
      <c r="A1322" s="14" t="s">
        <v>224</v>
      </c>
      <c r="B1322" s="7">
        <v>915</v>
      </c>
      <c r="C1322" s="7" t="s">
        <v>225</v>
      </c>
      <c r="D1322" s="135"/>
      <c r="E1322" s="303"/>
      <c r="F1322" s="298">
        <f>F1323</f>
        <v>127761.90000000001</v>
      </c>
      <c r="G1322" s="12"/>
      <c r="H1322" s="13"/>
    </row>
    <row r="1323" spans="1:8" ht="15.75" customHeight="1" x14ac:dyDescent="0.2">
      <c r="A1323" s="97" t="s">
        <v>172</v>
      </c>
      <c r="B1323" s="7">
        <v>915</v>
      </c>
      <c r="C1323" s="95" t="s">
        <v>225</v>
      </c>
      <c r="D1323" s="8" t="s">
        <v>173</v>
      </c>
      <c r="E1323" s="95"/>
      <c r="F1323" s="294">
        <f>F1324</f>
        <v>127761.90000000001</v>
      </c>
      <c r="G1323" s="12"/>
      <c r="H1323" s="13"/>
    </row>
    <row r="1324" spans="1:8" ht="15.75" customHeight="1" x14ac:dyDescent="0.2">
      <c r="A1324" s="97" t="s">
        <v>174</v>
      </c>
      <c r="B1324" s="7">
        <v>915</v>
      </c>
      <c r="C1324" s="95" t="s">
        <v>225</v>
      </c>
      <c r="D1324" s="8" t="s">
        <v>175</v>
      </c>
      <c r="E1324" s="95"/>
      <c r="F1324" s="294">
        <f>F1325</f>
        <v>127761.90000000001</v>
      </c>
      <c r="G1324" s="12"/>
      <c r="H1324" s="13"/>
    </row>
    <row r="1325" spans="1:8" ht="15.75" customHeight="1" x14ac:dyDescent="0.2">
      <c r="A1325" s="97" t="s">
        <v>813</v>
      </c>
      <c r="B1325" s="7">
        <v>915</v>
      </c>
      <c r="C1325" s="95" t="s">
        <v>225</v>
      </c>
      <c r="D1325" s="8" t="s">
        <v>814</v>
      </c>
      <c r="E1325" s="95"/>
      <c r="F1325" s="294">
        <f>F1326+F1330+F1328</f>
        <v>127761.90000000001</v>
      </c>
      <c r="G1325" s="12"/>
      <c r="H1325" s="13"/>
    </row>
    <row r="1326" spans="1:8" ht="15.75" customHeight="1" x14ac:dyDescent="0.2">
      <c r="A1326" s="105" t="s">
        <v>843</v>
      </c>
      <c r="B1326" s="7">
        <v>915</v>
      </c>
      <c r="C1326" s="95" t="s">
        <v>225</v>
      </c>
      <c r="D1326" s="8" t="s">
        <v>942</v>
      </c>
      <c r="E1326" s="95"/>
      <c r="F1326" s="294">
        <f>F1327</f>
        <v>27484.3</v>
      </c>
      <c r="G1326" s="12"/>
      <c r="H1326" s="13"/>
    </row>
    <row r="1327" spans="1:8" ht="15.75" customHeight="1" x14ac:dyDescent="0.2">
      <c r="A1327" s="14" t="s">
        <v>43</v>
      </c>
      <c r="B1327" s="7">
        <v>915</v>
      </c>
      <c r="C1327" s="95" t="s">
        <v>225</v>
      </c>
      <c r="D1327" s="8" t="s">
        <v>942</v>
      </c>
      <c r="E1327" s="95">
        <v>240</v>
      </c>
      <c r="F1327" s="294">
        <v>27484.3</v>
      </c>
      <c r="G1327" s="23"/>
      <c r="H1327" s="13"/>
    </row>
    <row r="1328" spans="1:8" ht="15.75" customHeight="1" x14ac:dyDescent="0.2">
      <c r="A1328" s="105" t="s">
        <v>850</v>
      </c>
      <c r="B1328" s="7">
        <v>915</v>
      </c>
      <c r="C1328" s="96" t="s">
        <v>225</v>
      </c>
      <c r="D1328" s="8" t="s">
        <v>963</v>
      </c>
      <c r="E1328" s="95"/>
      <c r="F1328" s="294">
        <f>F1329</f>
        <v>277.60000000000002</v>
      </c>
      <c r="G1328" s="12"/>
      <c r="H1328" s="13"/>
    </row>
    <row r="1329" spans="1:8" ht="15.75" customHeight="1" x14ac:dyDescent="0.2">
      <c r="A1329" s="14" t="s">
        <v>43</v>
      </c>
      <c r="B1329" s="7">
        <v>915</v>
      </c>
      <c r="C1329" s="95" t="s">
        <v>225</v>
      </c>
      <c r="D1329" s="8" t="s">
        <v>963</v>
      </c>
      <c r="E1329" s="95">
        <v>240</v>
      </c>
      <c r="F1329" s="294">
        <v>277.60000000000002</v>
      </c>
      <c r="G1329" s="23"/>
      <c r="H1329" s="13"/>
    </row>
    <row r="1330" spans="1:8" ht="15.75" customHeight="1" x14ac:dyDescent="0.2">
      <c r="A1330" s="356" t="s">
        <v>768</v>
      </c>
      <c r="B1330" s="7">
        <v>915</v>
      </c>
      <c r="C1330" s="95" t="s">
        <v>225</v>
      </c>
      <c r="D1330" s="8" t="s">
        <v>871</v>
      </c>
      <c r="E1330" s="95"/>
      <c r="F1330" s="294">
        <f>F1331</f>
        <v>100000</v>
      </c>
      <c r="G1330" s="12"/>
      <c r="H1330" s="13"/>
    </row>
    <row r="1331" spans="1:8" ht="15.75" customHeight="1" x14ac:dyDescent="0.2">
      <c r="A1331" s="14" t="s">
        <v>206</v>
      </c>
      <c r="B1331" s="7">
        <v>915</v>
      </c>
      <c r="C1331" s="95" t="s">
        <v>225</v>
      </c>
      <c r="D1331" s="8" t="s">
        <v>871</v>
      </c>
      <c r="E1331" s="95">
        <v>810</v>
      </c>
      <c r="F1331" s="294">
        <f>45000+55000</f>
        <v>100000</v>
      </c>
      <c r="G1331" s="12"/>
      <c r="H1331" s="13"/>
    </row>
    <row r="1332" spans="1:8" ht="15.75" customHeight="1" x14ac:dyDescent="0.2">
      <c r="A1332" s="20" t="s">
        <v>226</v>
      </c>
      <c r="B1332" s="21" t="s">
        <v>687</v>
      </c>
      <c r="C1332" s="21" t="s">
        <v>227</v>
      </c>
      <c r="D1332" s="22" t="s">
        <v>13</v>
      </c>
      <c r="E1332" s="21" t="s">
        <v>13</v>
      </c>
      <c r="F1332" s="294">
        <f>F1333+F1367+F1376</f>
        <v>1665147.5</v>
      </c>
      <c r="G1332" s="12"/>
      <c r="H1332" s="13"/>
    </row>
    <row r="1333" spans="1:8" ht="47.25" customHeight="1" x14ac:dyDescent="0.2">
      <c r="A1333" s="20" t="s">
        <v>172</v>
      </c>
      <c r="B1333" s="21" t="s">
        <v>687</v>
      </c>
      <c r="C1333" s="21" t="s">
        <v>227</v>
      </c>
      <c r="D1333" s="22" t="s">
        <v>173</v>
      </c>
      <c r="E1333" s="21" t="s">
        <v>13</v>
      </c>
      <c r="F1333" s="294">
        <f>F1334+F1346</f>
        <v>1540777</v>
      </c>
      <c r="G1333" s="12"/>
      <c r="H1333" s="13"/>
    </row>
    <row r="1334" spans="1:8" ht="47.25" customHeight="1" x14ac:dyDescent="0.2">
      <c r="A1334" s="20" t="s">
        <v>228</v>
      </c>
      <c r="B1334" s="21" t="s">
        <v>687</v>
      </c>
      <c r="C1334" s="21" t="s">
        <v>227</v>
      </c>
      <c r="D1334" s="22" t="s">
        <v>229</v>
      </c>
      <c r="E1334" s="21" t="s">
        <v>13</v>
      </c>
      <c r="F1334" s="294">
        <f>F1335</f>
        <v>1488694.4</v>
      </c>
      <c r="G1334" s="12"/>
      <c r="H1334" s="13"/>
    </row>
    <row r="1335" spans="1:8" ht="47.25" customHeight="1" x14ac:dyDescent="0.2">
      <c r="A1335" s="20" t="s">
        <v>691</v>
      </c>
      <c r="B1335" s="21" t="s">
        <v>687</v>
      </c>
      <c r="C1335" s="21" t="s">
        <v>227</v>
      </c>
      <c r="D1335" s="22" t="s">
        <v>692</v>
      </c>
      <c r="E1335" s="21" t="s">
        <v>13</v>
      </c>
      <c r="F1335" s="294">
        <f>F1336+F1338+F1341+F1344</f>
        <v>1488694.4</v>
      </c>
      <c r="G1335" s="12"/>
      <c r="H1335" s="13"/>
    </row>
    <row r="1336" spans="1:8" ht="78.75" customHeight="1" x14ac:dyDescent="0.2">
      <c r="A1336" s="24" t="s">
        <v>232</v>
      </c>
      <c r="B1336" s="21" t="s">
        <v>687</v>
      </c>
      <c r="C1336" s="21" t="s">
        <v>227</v>
      </c>
      <c r="D1336" s="22" t="s">
        <v>693</v>
      </c>
      <c r="E1336" s="21"/>
      <c r="F1336" s="294">
        <f>F1337</f>
        <v>430906.7</v>
      </c>
      <c r="G1336" s="12"/>
      <c r="H1336" s="13"/>
    </row>
    <row r="1337" spans="1:8" ht="31.5" x14ac:dyDescent="0.2">
      <c r="A1337" s="14" t="s">
        <v>43</v>
      </c>
      <c r="B1337" s="21" t="s">
        <v>687</v>
      </c>
      <c r="C1337" s="21" t="s">
        <v>227</v>
      </c>
      <c r="D1337" s="22" t="s">
        <v>693</v>
      </c>
      <c r="E1337" s="21">
        <v>240</v>
      </c>
      <c r="F1337" s="294">
        <f>390582-0.1+40324.8</f>
        <v>430906.7</v>
      </c>
      <c r="G1337" s="16"/>
      <c r="H1337" s="13"/>
    </row>
    <row r="1338" spans="1:8" s="154" customFormat="1" ht="31.5" customHeight="1" x14ac:dyDescent="0.2">
      <c r="A1338" s="48" t="s">
        <v>694</v>
      </c>
      <c r="B1338" s="21" t="s">
        <v>687</v>
      </c>
      <c r="C1338" s="21" t="s">
        <v>227</v>
      </c>
      <c r="D1338" s="22" t="s">
        <v>695</v>
      </c>
      <c r="E1338" s="21"/>
      <c r="F1338" s="294">
        <f>F1339+F1340</f>
        <v>534617.59999999998</v>
      </c>
      <c r="G1338" s="138"/>
      <c r="H1338" s="153"/>
    </row>
    <row r="1339" spans="1:8" ht="31.5" x14ac:dyDescent="0.2">
      <c r="A1339" s="14" t="s">
        <v>43</v>
      </c>
      <c r="B1339" s="21" t="s">
        <v>687</v>
      </c>
      <c r="C1339" s="21" t="s">
        <v>227</v>
      </c>
      <c r="D1339" s="22" t="s">
        <v>695</v>
      </c>
      <c r="E1339" s="21">
        <v>240</v>
      </c>
      <c r="F1339" s="294">
        <v>254900</v>
      </c>
      <c r="G1339" s="53"/>
      <c r="H1339" s="13"/>
    </row>
    <row r="1340" spans="1:8" ht="47.25" x14ac:dyDescent="0.2">
      <c r="A1340" s="14" t="s">
        <v>206</v>
      </c>
      <c r="B1340" s="21" t="s">
        <v>687</v>
      </c>
      <c r="C1340" s="21" t="s">
        <v>227</v>
      </c>
      <c r="D1340" s="22" t="s">
        <v>695</v>
      </c>
      <c r="E1340" s="21">
        <v>810</v>
      </c>
      <c r="F1340" s="294">
        <f>100524.4+179193.2</f>
        <v>279717.59999999998</v>
      </c>
      <c r="G1340" s="53"/>
      <c r="H1340" s="13"/>
    </row>
    <row r="1341" spans="1:8" ht="31.5" customHeight="1" x14ac:dyDescent="0.2">
      <c r="A1341" s="48" t="s">
        <v>696</v>
      </c>
      <c r="B1341" s="21" t="s">
        <v>687</v>
      </c>
      <c r="C1341" s="21" t="s">
        <v>227</v>
      </c>
      <c r="D1341" s="22" t="s">
        <v>697</v>
      </c>
      <c r="E1341" s="21"/>
      <c r="F1341" s="294">
        <f>F1342+F1343</f>
        <v>5400.2000000000007</v>
      </c>
      <c r="G1341" s="12"/>
      <c r="H1341" s="13"/>
    </row>
    <row r="1342" spans="1:8" ht="31.5" x14ac:dyDescent="0.2">
      <c r="A1342" s="14" t="s">
        <v>43</v>
      </c>
      <c r="B1342" s="21" t="s">
        <v>687</v>
      </c>
      <c r="C1342" s="21" t="s">
        <v>227</v>
      </c>
      <c r="D1342" s="22" t="s">
        <v>697</v>
      </c>
      <c r="E1342" s="21">
        <v>240</v>
      </c>
      <c r="F1342" s="294">
        <v>2574.8000000000002</v>
      </c>
      <c r="G1342" s="53"/>
      <c r="H1342" s="13"/>
    </row>
    <row r="1343" spans="1:8" ht="47.25" x14ac:dyDescent="0.2">
      <c r="A1343" s="14" t="s">
        <v>206</v>
      </c>
      <c r="B1343" s="21" t="s">
        <v>687</v>
      </c>
      <c r="C1343" s="21" t="s">
        <v>227</v>
      </c>
      <c r="D1343" s="22" t="s">
        <v>697</v>
      </c>
      <c r="E1343" s="21">
        <v>810</v>
      </c>
      <c r="F1343" s="294">
        <v>2825.4</v>
      </c>
      <c r="G1343" s="53"/>
      <c r="H1343" s="13"/>
    </row>
    <row r="1344" spans="1:8" ht="47.25" customHeight="1" x14ac:dyDescent="0.2">
      <c r="A1344" s="24" t="s">
        <v>1116</v>
      </c>
      <c r="B1344" s="21" t="s">
        <v>687</v>
      </c>
      <c r="C1344" s="95" t="s">
        <v>227</v>
      </c>
      <c r="D1344" s="8" t="s">
        <v>897</v>
      </c>
      <c r="E1344" s="95"/>
      <c r="F1344" s="294">
        <f>F1345</f>
        <v>517769.9</v>
      </c>
      <c r="G1344" s="243"/>
      <c r="H1344" s="13"/>
    </row>
    <row r="1345" spans="1:8" ht="47.25" x14ac:dyDescent="0.2">
      <c r="A1345" s="14" t="s">
        <v>206</v>
      </c>
      <c r="B1345" s="21" t="s">
        <v>687</v>
      </c>
      <c r="C1345" s="95" t="s">
        <v>227</v>
      </c>
      <c r="D1345" s="8" t="s">
        <v>897</v>
      </c>
      <c r="E1345" s="95">
        <v>810</v>
      </c>
      <c r="F1345" s="294">
        <f>584338.9-66569</f>
        <v>517769.9</v>
      </c>
      <c r="G1345" s="90"/>
      <c r="H1345" s="13"/>
    </row>
    <row r="1346" spans="1:8" ht="47.25" customHeight="1" x14ac:dyDescent="0.2">
      <c r="A1346" s="20" t="s">
        <v>174</v>
      </c>
      <c r="B1346" s="21" t="s">
        <v>687</v>
      </c>
      <c r="C1346" s="42" t="s">
        <v>227</v>
      </c>
      <c r="D1346" s="22" t="s">
        <v>175</v>
      </c>
      <c r="E1346" s="21" t="s">
        <v>13</v>
      </c>
      <c r="F1346" s="294">
        <f>F1347+F1352+F1357+F1362</f>
        <v>52082.600000000006</v>
      </c>
      <c r="G1346" s="263"/>
      <c r="H1346" s="13"/>
    </row>
    <row r="1347" spans="1:8" ht="31.5" customHeight="1" x14ac:dyDescent="0.2">
      <c r="A1347" s="20" t="s">
        <v>698</v>
      </c>
      <c r="B1347" s="21" t="s">
        <v>687</v>
      </c>
      <c r="C1347" s="21" t="s">
        <v>227</v>
      </c>
      <c r="D1347" s="22" t="s">
        <v>699</v>
      </c>
      <c r="E1347" s="21" t="s">
        <v>13</v>
      </c>
      <c r="F1347" s="294">
        <f>F1350+F1348</f>
        <v>13783.199999999999</v>
      </c>
      <c r="G1347" s="263"/>
      <c r="H1347" s="13"/>
    </row>
    <row r="1348" spans="1:8" ht="41.25" customHeight="1" x14ac:dyDescent="0.2">
      <c r="A1348" s="342" t="s">
        <v>232</v>
      </c>
      <c r="B1348" s="21" t="s">
        <v>687</v>
      </c>
      <c r="C1348" s="95" t="s">
        <v>227</v>
      </c>
      <c r="D1348" s="96" t="s">
        <v>1079</v>
      </c>
      <c r="E1348" s="95"/>
      <c r="F1348" s="208">
        <f>F1349</f>
        <v>676.3</v>
      </c>
      <c r="G1348" s="90"/>
      <c r="H1348" s="13"/>
    </row>
    <row r="1349" spans="1:8" ht="44.25" customHeight="1" x14ac:dyDescent="0.2">
      <c r="A1349" s="105" t="s">
        <v>43</v>
      </c>
      <c r="B1349" s="21" t="s">
        <v>687</v>
      </c>
      <c r="C1349" s="95" t="s">
        <v>227</v>
      </c>
      <c r="D1349" s="96" t="s">
        <v>1079</v>
      </c>
      <c r="E1349" s="95">
        <v>240</v>
      </c>
      <c r="F1349" s="208">
        <v>676.3</v>
      </c>
      <c r="G1349" s="90"/>
      <c r="H1349" s="13"/>
    </row>
    <row r="1350" spans="1:8" ht="97.5" customHeight="1" x14ac:dyDescent="0.2">
      <c r="A1350" s="24" t="s">
        <v>766</v>
      </c>
      <c r="B1350" s="21" t="s">
        <v>687</v>
      </c>
      <c r="C1350" s="21" t="s">
        <v>227</v>
      </c>
      <c r="D1350" s="22" t="s">
        <v>700</v>
      </c>
      <c r="E1350" s="21"/>
      <c r="F1350" s="294">
        <f>F1351</f>
        <v>13106.9</v>
      </c>
      <c r="G1350" s="263"/>
      <c r="H1350" s="13"/>
    </row>
    <row r="1351" spans="1:8" ht="31.5" customHeight="1" x14ac:dyDescent="0.2">
      <c r="A1351" s="14" t="s">
        <v>206</v>
      </c>
      <c r="B1351" s="21" t="s">
        <v>687</v>
      </c>
      <c r="C1351" s="21" t="s">
        <v>227</v>
      </c>
      <c r="D1351" s="22" t="s">
        <v>700</v>
      </c>
      <c r="E1351" s="21">
        <v>810</v>
      </c>
      <c r="F1351" s="294">
        <f>12848.3+258.6</f>
        <v>13106.9</v>
      </c>
      <c r="G1351" s="90"/>
      <c r="H1351" s="13"/>
    </row>
    <row r="1352" spans="1:8" ht="15.75" customHeight="1" x14ac:dyDescent="0.2">
      <c r="A1352" s="20" t="s">
        <v>701</v>
      </c>
      <c r="B1352" s="21" t="s">
        <v>687</v>
      </c>
      <c r="C1352" s="21" t="s">
        <v>227</v>
      </c>
      <c r="D1352" s="22" t="s">
        <v>702</v>
      </c>
      <c r="E1352" s="21" t="s">
        <v>13</v>
      </c>
      <c r="F1352" s="294">
        <f>F1353+F1355</f>
        <v>13852.7</v>
      </c>
      <c r="G1352" s="12"/>
      <c r="H1352" s="13"/>
    </row>
    <row r="1353" spans="1:8" ht="47.25" customHeight="1" x14ac:dyDescent="0.2">
      <c r="A1353" s="24" t="s">
        <v>232</v>
      </c>
      <c r="B1353" s="21" t="s">
        <v>687</v>
      </c>
      <c r="C1353" s="21" t="s">
        <v>227</v>
      </c>
      <c r="D1353" s="22" t="s">
        <v>847</v>
      </c>
      <c r="E1353" s="21"/>
      <c r="F1353" s="294">
        <f>F1354</f>
        <v>2674.6</v>
      </c>
      <c r="G1353" s="263"/>
      <c r="H1353" s="13"/>
    </row>
    <row r="1354" spans="1:8" ht="47.25" customHeight="1" x14ac:dyDescent="0.2">
      <c r="A1354" s="14" t="s">
        <v>43</v>
      </c>
      <c r="B1354" s="21" t="s">
        <v>687</v>
      </c>
      <c r="C1354" s="21" t="s">
        <v>227</v>
      </c>
      <c r="D1354" s="22" t="s">
        <v>847</v>
      </c>
      <c r="E1354" s="21">
        <v>240</v>
      </c>
      <c r="F1354" s="294">
        <f>1696.7+977.9</f>
        <v>2674.6</v>
      </c>
      <c r="G1354" s="263"/>
      <c r="H1354" s="13"/>
    </row>
    <row r="1355" spans="1:8" ht="63" customHeight="1" x14ac:dyDescent="0.2">
      <c r="A1355" s="24" t="s">
        <v>1116</v>
      </c>
      <c r="B1355" s="21" t="s">
        <v>687</v>
      </c>
      <c r="C1355" s="95" t="s">
        <v>227</v>
      </c>
      <c r="D1355" s="8" t="s">
        <v>898</v>
      </c>
      <c r="E1355" s="95"/>
      <c r="F1355" s="294">
        <f>F1356</f>
        <v>11178.1</v>
      </c>
      <c r="G1355" s="243"/>
      <c r="H1355" s="13"/>
    </row>
    <row r="1356" spans="1:8" ht="47.25" customHeight="1" x14ac:dyDescent="0.2">
      <c r="A1356" s="14" t="s">
        <v>206</v>
      </c>
      <c r="B1356" s="21" t="s">
        <v>687</v>
      </c>
      <c r="C1356" s="95" t="s">
        <v>227</v>
      </c>
      <c r="D1356" s="8" t="s">
        <v>898</v>
      </c>
      <c r="E1356" s="95">
        <v>810</v>
      </c>
      <c r="F1356" s="294">
        <v>11178.1</v>
      </c>
      <c r="G1356" s="90"/>
      <c r="H1356" s="13"/>
    </row>
    <row r="1357" spans="1:8" ht="47.25" customHeight="1" x14ac:dyDescent="0.2">
      <c r="A1357" s="20" t="s">
        <v>703</v>
      </c>
      <c r="B1357" s="21" t="s">
        <v>687</v>
      </c>
      <c r="C1357" s="21" t="s">
        <v>227</v>
      </c>
      <c r="D1357" s="22" t="s">
        <v>704</v>
      </c>
      <c r="E1357" s="21" t="s">
        <v>13</v>
      </c>
      <c r="F1357" s="294">
        <f>F1358+F1360</f>
        <v>3085.7</v>
      </c>
      <c r="G1357" s="263"/>
      <c r="H1357" s="13"/>
    </row>
    <row r="1358" spans="1:8" ht="47.25" customHeight="1" x14ac:dyDescent="0.2">
      <c r="A1358" s="24" t="s">
        <v>232</v>
      </c>
      <c r="B1358" s="21" t="s">
        <v>687</v>
      </c>
      <c r="C1358" s="21" t="s">
        <v>227</v>
      </c>
      <c r="D1358" s="22" t="s">
        <v>848</v>
      </c>
      <c r="E1358" s="21"/>
      <c r="F1358" s="294">
        <f>F1359</f>
        <v>549.70000000000005</v>
      </c>
      <c r="G1358" s="12"/>
      <c r="H1358" s="13"/>
    </row>
    <row r="1359" spans="1:8" ht="47.25" customHeight="1" x14ac:dyDescent="0.2">
      <c r="A1359" s="14" t="s">
        <v>43</v>
      </c>
      <c r="B1359" s="21" t="s">
        <v>687</v>
      </c>
      <c r="C1359" s="21" t="s">
        <v>227</v>
      </c>
      <c r="D1359" s="22" t="s">
        <v>848</v>
      </c>
      <c r="E1359" s="21">
        <v>240</v>
      </c>
      <c r="F1359" s="294">
        <f>615.1-65.4</f>
        <v>549.70000000000005</v>
      </c>
      <c r="G1359" s="263"/>
      <c r="H1359" s="13"/>
    </row>
    <row r="1360" spans="1:8" ht="47.25" customHeight="1" x14ac:dyDescent="0.2">
      <c r="A1360" s="24" t="s">
        <v>1116</v>
      </c>
      <c r="B1360" s="21" t="s">
        <v>687</v>
      </c>
      <c r="C1360" s="95" t="s">
        <v>227</v>
      </c>
      <c r="D1360" s="8" t="s">
        <v>899</v>
      </c>
      <c r="E1360" s="95"/>
      <c r="F1360" s="294">
        <f>F1361</f>
        <v>2536</v>
      </c>
      <c r="G1360" s="243"/>
      <c r="H1360" s="13"/>
    </row>
    <row r="1361" spans="1:8" ht="47.25" customHeight="1" x14ac:dyDescent="0.2">
      <c r="A1361" s="14" t="s">
        <v>206</v>
      </c>
      <c r="B1361" s="21" t="s">
        <v>687</v>
      </c>
      <c r="C1361" s="95" t="s">
        <v>227</v>
      </c>
      <c r="D1361" s="8" t="s">
        <v>899</v>
      </c>
      <c r="E1361" s="95">
        <v>810</v>
      </c>
      <c r="F1361" s="294">
        <v>2536</v>
      </c>
      <c r="G1361" s="90"/>
      <c r="H1361" s="13"/>
    </row>
    <row r="1362" spans="1:8" ht="31.5" customHeight="1" x14ac:dyDescent="0.2">
      <c r="A1362" s="20" t="s">
        <v>705</v>
      </c>
      <c r="B1362" s="21" t="s">
        <v>687</v>
      </c>
      <c r="C1362" s="21" t="s">
        <v>227</v>
      </c>
      <c r="D1362" s="22" t="s">
        <v>706</v>
      </c>
      <c r="E1362" s="21" t="s">
        <v>13</v>
      </c>
      <c r="F1362" s="294">
        <f>F1363+F1365</f>
        <v>21361</v>
      </c>
      <c r="G1362" s="263"/>
      <c r="H1362" s="13"/>
    </row>
    <row r="1363" spans="1:8" ht="94.5" x14ac:dyDescent="0.2">
      <c r="A1363" s="24" t="s">
        <v>232</v>
      </c>
      <c r="B1363" s="21" t="s">
        <v>687</v>
      </c>
      <c r="C1363" s="21" t="s">
        <v>227</v>
      </c>
      <c r="D1363" s="22" t="s">
        <v>849</v>
      </c>
      <c r="E1363" s="21"/>
      <c r="F1363" s="294">
        <f>F1364</f>
        <v>3681.2999999999997</v>
      </c>
      <c r="G1363" s="263"/>
      <c r="H1363" s="13"/>
    </row>
    <row r="1364" spans="1:8" ht="31.5" x14ac:dyDescent="0.2">
      <c r="A1364" s="14" t="s">
        <v>43</v>
      </c>
      <c r="B1364" s="21" t="s">
        <v>687</v>
      </c>
      <c r="C1364" s="21" t="s">
        <v>227</v>
      </c>
      <c r="D1364" s="22" t="s">
        <v>849</v>
      </c>
      <c r="E1364" s="21">
        <v>240</v>
      </c>
      <c r="F1364" s="294">
        <f>1583.6+2097.7</f>
        <v>3681.2999999999997</v>
      </c>
      <c r="G1364" s="16"/>
      <c r="H1364" s="13"/>
    </row>
    <row r="1365" spans="1:8" ht="94.5" x14ac:dyDescent="0.2">
      <c r="A1365" s="24" t="s">
        <v>1116</v>
      </c>
      <c r="B1365" s="21" t="s">
        <v>687</v>
      </c>
      <c r="C1365" s="95" t="s">
        <v>227</v>
      </c>
      <c r="D1365" s="8" t="s">
        <v>900</v>
      </c>
      <c r="E1365" s="95"/>
      <c r="F1365" s="294">
        <f>F1366</f>
        <v>17679.7</v>
      </c>
      <c r="G1365" s="243"/>
      <c r="H1365" s="13"/>
    </row>
    <row r="1366" spans="1:8" ht="47.25" x14ac:dyDescent="0.2">
      <c r="A1366" s="14" t="s">
        <v>206</v>
      </c>
      <c r="B1366" s="21" t="s">
        <v>687</v>
      </c>
      <c r="C1366" s="95" t="s">
        <v>227</v>
      </c>
      <c r="D1366" s="8" t="s">
        <v>900</v>
      </c>
      <c r="E1366" s="95">
        <v>810</v>
      </c>
      <c r="F1366" s="294">
        <v>17679.7</v>
      </c>
      <c r="G1366" s="90"/>
      <c r="H1366" s="13"/>
    </row>
    <row r="1367" spans="1:8" ht="47.25" customHeight="1" x14ac:dyDescent="0.2">
      <c r="A1367" s="20" t="s">
        <v>237</v>
      </c>
      <c r="B1367" s="21" t="s">
        <v>687</v>
      </c>
      <c r="C1367" s="21" t="s">
        <v>227</v>
      </c>
      <c r="D1367" s="22" t="s">
        <v>238</v>
      </c>
      <c r="E1367" s="21" t="s">
        <v>13</v>
      </c>
      <c r="F1367" s="294">
        <f>F1368+F1373</f>
        <v>124171.5</v>
      </c>
      <c r="G1367" s="263"/>
      <c r="H1367" s="13"/>
    </row>
    <row r="1368" spans="1:8" ht="15.75" customHeight="1" x14ac:dyDescent="0.2">
      <c r="A1368" s="20" t="s">
        <v>239</v>
      </c>
      <c r="B1368" s="21" t="s">
        <v>687</v>
      </c>
      <c r="C1368" s="21" t="s">
        <v>227</v>
      </c>
      <c r="D1368" s="22" t="s">
        <v>240</v>
      </c>
      <c r="E1368" s="21" t="s">
        <v>13</v>
      </c>
      <c r="F1368" s="294">
        <f>SUM(F1372)+F1369</f>
        <v>74171.5</v>
      </c>
      <c r="G1368" s="263"/>
      <c r="H1368" s="13"/>
    </row>
    <row r="1369" spans="1:8" ht="31.5" customHeight="1" x14ac:dyDescent="0.2">
      <c r="A1369" s="20" t="s">
        <v>82</v>
      </c>
      <c r="B1369" s="21" t="s">
        <v>687</v>
      </c>
      <c r="C1369" s="21" t="s">
        <v>227</v>
      </c>
      <c r="D1369" s="22" t="s">
        <v>241</v>
      </c>
      <c r="E1369" s="21"/>
      <c r="F1369" s="294">
        <f>F1370</f>
        <v>10000</v>
      </c>
      <c r="G1369" s="263"/>
      <c r="H1369" s="13"/>
    </row>
    <row r="1370" spans="1:8" ht="47.25" customHeight="1" x14ac:dyDescent="0.2">
      <c r="A1370" s="14" t="s">
        <v>43</v>
      </c>
      <c r="B1370" s="21" t="s">
        <v>687</v>
      </c>
      <c r="C1370" s="21" t="s">
        <v>227</v>
      </c>
      <c r="D1370" s="22" t="s">
        <v>241</v>
      </c>
      <c r="E1370" s="21">
        <v>240</v>
      </c>
      <c r="F1370" s="294">
        <v>10000</v>
      </c>
      <c r="G1370" s="263"/>
      <c r="H1370" s="13"/>
    </row>
    <row r="1371" spans="1:8" ht="94.5" x14ac:dyDescent="0.2">
      <c r="A1371" s="24" t="s">
        <v>1116</v>
      </c>
      <c r="B1371" s="21" t="s">
        <v>687</v>
      </c>
      <c r="C1371" s="21" t="s">
        <v>227</v>
      </c>
      <c r="D1371" s="22" t="s">
        <v>707</v>
      </c>
      <c r="E1371" s="21"/>
      <c r="F1371" s="294">
        <f>F1372</f>
        <v>64171.5</v>
      </c>
      <c r="G1371" s="12"/>
      <c r="H1371" s="13"/>
    </row>
    <row r="1372" spans="1:8" ht="31.5" customHeight="1" x14ac:dyDescent="0.2">
      <c r="A1372" s="14" t="s">
        <v>206</v>
      </c>
      <c r="B1372" s="21" t="s">
        <v>687</v>
      </c>
      <c r="C1372" s="21" t="s">
        <v>227</v>
      </c>
      <c r="D1372" s="22" t="s">
        <v>707</v>
      </c>
      <c r="E1372" s="21">
        <v>810</v>
      </c>
      <c r="F1372" s="294">
        <v>64171.5</v>
      </c>
      <c r="G1372" s="152"/>
      <c r="H1372" s="13"/>
    </row>
    <row r="1373" spans="1:8" ht="31.5" customHeight="1" x14ac:dyDescent="0.2">
      <c r="A1373" s="20" t="s">
        <v>708</v>
      </c>
      <c r="B1373" s="21" t="s">
        <v>687</v>
      </c>
      <c r="C1373" s="21" t="s">
        <v>227</v>
      </c>
      <c r="D1373" s="22" t="s">
        <v>709</v>
      </c>
      <c r="E1373" s="21" t="s">
        <v>13</v>
      </c>
      <c r="F1373" s="294">
        <f>F1374</f>
        <v>50000</v>
      </c>
      <c r="G1373" s="12"/>
      <c r="H1373" s="13"/>
    </row>
    <row r="1374" spans="1:8" ht="31.5" customHeight="1" x14ac:dyDescent="0.2">
      <c r="A1374" s="20" t="s">
        <v>82</v>
      </c>
      <c r="B1374" s="21" t="s">
        <v>687</v>
      </c>
      <c r="C1374" s="21" t="s">
        <v>227</v>
      </c>
      <c r="D1374" s="22" t="s">
        <v>710</v>
      </c>
      <c r="E1374" s="21"/>
      <c r="F1374" s="294">
        <f>F1375</f>
        <v>50000</v>
      </c>
      <c r="G1374" s="12"/>
      <c r="H1374" s="13"/>
    </row>
    <row r="1375" spans="1:8" ht="47.25" customHeight="1" x14ac:dyDescent="0.2">
      <c r="A1375" s="14" t="s">
        <v>43</v>
      </c>
      <c r="B1375" s="21" t="s">
        <v>687</v>
      </c>
      <c r="C1375" s="21" t="s">
        <v>227</v>
      </c>
      <c r="D1375" s="22" t="s">
        <v>710</v>
      </c>
      <c r="E1375" s="21">
        <v>240</v>
      </c>
      <c r="F1375" s="294">
        <v>50000</v>
      </c>
      <c r="G1375" s="51"/>
      <c r="H1375" s="13"/>
    </row>
    <row r="1376" spans="1:8" ht="31.5" customHeight="1" x14ac:dyDescent="0.2">
      <c r="A1376" s="20" t="s">
        <v>102</v>
      </c>
      <c r="B1376" s="21" t="s">
        <v>687</v>
      </c>
      <c r="C1376" s="21" t="s">
        <v>227</v>
      </c>
      <c r="D1376" s="22" t="s">
        <v>103</v>
      </c>
      <c r="E1376" s="21" t="s">
        <v>13</v>
      </c>
      <c r="F1376" s="294">
        <f>F1377</f>
        <v>199</v>
      </c>
      <c r="G1376" s="12"/>
      <c r="H1376" s="13"/>
    </row>
    <row r="1377" spans="1:8" ht="15.75" customHeight="1" x14ac:dyDescent="0.2">
      <c r="A1377" s="20" t="s">
        <v>464</v>
      </c>
      <c r="B1377" s="21" t="s">
        <v>687</v>
      </c>
      <c r="C1377" s="21" t="s">
        <v>227</v>
      </c>
      <c r="D1377" s="22" t="s">
        <v>465</v>
      </c>
      <c r="E1377" s="21" t="s">
        <v>13</v>
      </c>
      <c r="F1377" s="294">
        <f>F1378</f>
        <v>199</v>
      </c>
      <c r="G1377" s="12"/>
      <c r="H1377" s="13"/>
    </row>
    <row r="1378" spans="1:8" ht="31.5" customHeight="1" x14ac:dyDescent="0.2">
      <c r="A1378" s="20" t="s">
        <v>466</v>
      </c>
      <c r="B1378" s="21" t="s">
        <v>687</v>
      </c>
      <c r="C1378" s="21" t="s">
        <v>227</v>
      </c>
      <c r="D1378" s="22" t="s">
        <v>467</v>
      </c>
      <c r="E1378" s="21" t="s">
        <v>13</v>
      </c>
      <c r="F1378" s="294">
        <f>SUM(F1380)</f>
        <v>199</v>
      </c>
      <c r="G1378" s="12"/>
      <c r="H1378" s="13"/>
    </row>
    <row r="1379" spans="1:8" ht="78.75" customHeight="1" x14ac:dyDescent="0.2">
      <c r="A1379" s="24" t="s">
        <v>232</v>
      </c>
      <c r="B1379" s="21" t="s">
        <v>687</v>
      </c>
      <c r="C1379" s="21" t="s">
        <v>227</v>
      </c>
      <c r="D1379" s="22" t="s">
        <v>711</v>
      </c>
      <c r="E1379" s="21"/>
      <c r="F1379" s="294">
        <f>F1380</f>
        <v>199</v>
      </c>
      <c r="G1379" s="12"/>
      <c r="H1379" s="13"/>
    </row>
    <row r="1380" spans="1:8" ht="31.5" x14ac:dyDescent="0.2">
      <c r="A1380" s="14" t="s">
        <v>43</v>
      </c>
      <c r="B1380" s="21" t="s">
        <v>687</v>
      </c>
      <c r="C1380" s="21" t="s">
        <v>227</v>
      </c>
      <c r="D1380" s="22" t="s">
        <v>711</v>
      </c>
      <c r="E1380" s="21">
        <v>240</v>
      </c>
      <c r="F1380" s="294">
        <v>199</v>
      </c>
      <c r="G1380" s="12"/>
      <c r="H1380" s="13"/>
    </row>
    <row r="1381" spans="1:8" ht="15.75" customHeight="1" x14ac:dyDescent="0.2">
      <c r="A1381" s="34" t="s">
        <v>278</v>
      </c>
      <c r="B1381" s="35" t="s">
        <v>687</v>
      </c>
      <c r="C1381" s="35" t="s">
        <v>279</v>
      </c>
      <c r="D1381" s="36" t="s">
        <v>13</v>
      </c>
      <c r="E1381" s="35" t="s">
        <v>13</v>
      </c>
      <c r="F1381" s="297">
        <f>F1382+F1422+F1443+F1477</f>
        <v>1344232.1</v>
      </c>
      <c r="G1381" s="12"/>
      <c r="H1381" s="13"/>
    </row>
    <row r="1382" spans="1:8" ht="15.75" customHeight="1" x14ac:dyDescent="0.2">
      <c r="A1382" s="20" t="s">
        <v>280</v>
      </c>
      <c r="B1382" s="21" t="s">
        <v>687</v>
      </c>
      <c r="C1382" s="21" t="s">
        <v>281</v>
      </c>
      <c r="D1382" s="22" t="s">
        <v>13</v>
      </c>
      <c r="E1382" s="21" t="s">
        <v>13</v>
      </c>
      <c r="F1382" s="294">
        <f>F1383+F1387+F1410</f>
        <v>458514.19999999995</v>
      </c>
      <c r="G1382" s="12"/>
      <c r="H1382" s="13"/>
    </row>
    <row r="1383" spans="1:8" ht="47.25" x14ac:dyDescent="0.2">
      <c r="A1383" s="91" t="s">
        <v>672</v>
      </c>
      <c r="B1383" s="95" t="s">
        <v>687</v>
      </c>
      <c r="C1383" s="95" t="s">
        <v>281</v>
      </c>
      <c r="D1383" s="8" t="s">
        <v>673</v>
      </c>
      <c r="E1383" s="35"/>
      <c r="F1383" s="294">
        <f>F1384</f>
        <v>289.3</v>
      </c>
      <c r="G1383" s="12"/>
      <c r="H1383" s="13"/>
    </row>
    <row r="1384" spans="1:8" ht="47.25" x14ac:dyDescent="0.2">
      <c r="A1384" s="97" t="s">
        <v>830</v>
      </c>
      <c r="B1384" s="95" t="s">
        <v>687</v>
      </c>
      <c r="C1384" s="95" t="s">
        <v>281</v>
      </c>
      <c r="D1384" s="8" t="s">
        <v>831</v>
      </c>
      <c r="E1384" s="35"/>
      <c r="F1384" s="294">
        <f>F1385</f>
        <v>289.3</v>
      </c>
      <c r="G1384" s="12"/>
      <c r="H1384" s="13"/>
    </row>
    <row r="1385" spans="1:8" ht="99.75" customHeight="1" x14ac:dyDescent="0.2">
      <c r="A1385" s="14" t="s">
        <v>958</v>
      </c>
      <c r="B1385" s="95" t="s">
        <v>687</v>
      </c>
      <c r="C1385" s="95" t="s">
        <v>281</v>
      </c>
      <c r="D1385" s="8" t="s">
        <v>957</v>
      </c>
      <c r="E1385" s="21"/>
      <c r="F1385" s="294">
        <f>F1386</f>
        <v>289.3</v>
      </c>
      <c r="G1385" s="263"/>
      <c r="H1385" s="13"/>
    </row>
    <row r="1386" spans="1:8" ht="31.5" x14ac:dyDescent="0.2">
      <c r="A1386" s="14" t="s">
        <v>43</v>
      </c>
      <c r="B1386" s="95" t="s">
        <v>687</v>
      </c>
      <c r="C1386" s="95" t="s">
        <v>281</v>
      </c>
      <c r="D1386" s="8" t="s">
        <v>957</v>
      </c>
      <c r="E1386" s="21">
        <v>240</v>
      </c>
      <c r="F1386" s="294">
        <v>289.3</v>
      </c>
      <c r="G1386" s="16"/>
      <c r="H1386" s="13"/>
    </row>
    <row r="1387" spans="1:8" ht="47.25" customHeight="1" x14ac:dyDescent="0.2">
      <c r="A1387" s="20" t="s">
        <v>237</v>
      </c>
      <c r="B1387" s="21" t="s">
        <v>687</v>
      </c>
      <c r="C1387" s="21" t="s">
        <v>281</v>
      </c>
      <c r="D1387" s="22" t="s">
        <v>238</v>
      </c>
      <c r="E1387" s="21" t="s">
        <v>13</v>
      </c>
      <c r="F1387" s="294">
        <f>F1388+F1399+F1402+F1405</f>
        <v>433515.89999999997</v>
      </c>
      <c r="G1387" s="263"/>
      <c r="H1387" s="13"/>
    </row>
    <row r="1388" spans="1:8" ht="15.75" customHeight="1" x14ac:dyDescent="0.2">
      <c r="A1388" s="20" t="s">
        <v>282</v>
      </c>
      <c r="B1388" s="21" t="s">
        <v>687</v>
      </c>
      <c r="C1388" s="21" t="s">
        <v>281</v>
      </c>
      <c r="D1388" s="22" t="s">
        <v>283</v>
      </c>
      <c r="E1388" s="21" t="s">
        <v>13</v>
      </c>
      <c r="F1388" s="294">
        <f>F1389+F1391+F1393+F1395+F1397</f>
        <v>394962.19999999995</v>
      </c>
      <c r="G1388" s="263"/>
      <c r="H1388" s="13"/>
    </row>
    <row r="1389" spans="1:8" ht="31.5" customHeight="1" x14ac:dyDescent="0.2">
      <c r="A1389" s="20" t="s">
        <v>82</v>
      </c>
      <c r="B1389" s="21" t="s">
        <v>687</v>
      </c>
      <c r="C1389" s="21" t="s">
        <v>281</v>
      </c>
      <c r="D1389" s="22" t="s">
        <v>284</v>
      </c>
      <c r="E1389" s="21"/>
      <c r="F1389" s="294">
        <f>F1390</f>
        <v>16102.4</v>
      </c>
      <c r="G1389" s="12"/>
      <c r="H1389" s="13"/>
    </row>
    <row r="1390" spans="1:8" ht="43.5" customHeight="1" x14ac:dyDescent="0.2">
      <c r="A1390" s="14" t="s">
        <v>43</v>
      </c>
      <c r="B1390" s="21" t="s">
        <v>687</v>
      </c>
      <c r="C1390" s="21" t="s">
        <v>281</v>
      </c>
      <c r="D1390" s="22" t="s">
        <v>284</v>
      </c>
      <c r="E1390" s="21">
        <v>240</v>
      </c>
      <c r="F1390" s="294">
        <f>6210.4+3000+7069-177</f>
        <v>16102.4</v>
      </c>
      <c r="G1390" s="40"/>
      <c r="H1390" s="89"/>
    </row>
    <row r="1391" spans="1:8" ht="43.5" customHeight="1" x14ac:dyDescent="0.2">
      <c r="A1391" s="14" t="s">
        <v>1045</v>
      </c>
      <c r="B1391" s="21" t="s">
        <v>687</v>
      </c>
      <c r="C1391" s="21" t="s">
        <v>281</v>
      </c>
      <c r="D1391" s="22" t="s">
        <v>1058</v>
      </c>
      <c r="E1391" s="21"/>
      <c r="F1391" s="294">
        <f>F1392</f>
        <v>154369.5</v>
      </c>
      <c r="G1391" s="40"/>
      <c r="H1391" s="89"/>
    </row>
    <row r="1392" spans="1:8" ht="43.5" customHeight="1" x14ac:dyDescent="0.2">
      <c r="A1392" s="20" t="s">
        <v>206</v>
      </c>
      <c r="B1392" s="21" t="s">
        <v>687</v>
      </c>
      <c r="C1392" s="21" t="s">
        <v>281</v>
      </c>
      <c r="D1392" s="22" t="s">
        <v>1058</v>
      </c>
      <c r="E1392" s="21">
        <v>810</v>
      </c>
      <c r="F1392" s="294">
        <f>391969.5-237600</f>
        <v>154369.5</v>
      </c>
      <c r="G1392" s="40"/>
      <c r="H1392" s="89"/>
    </row>
    <row r="1393" spans="1:8" ht="43.5" customHeight="1" x14ac:dyDescent="0.2">
      <c r="A1393" s="320" t="s">
        <v>852</v>
      </c>
      <c r="B1393" s="21" t="s">
        <v>687</v>
      </c>
      <c r="C1393" s="21" t="s">
        <v>281</v>
      </c>
      <c r="D1393" s="22" t="s">
        <v>1059</v>
      </c>
      <c r="E1393" s="21"/>
      <c r="F1393" s="294">
        <f>F1394</f>
        <v>1559.3</v>
      </c>
      <c r="G1393" s="40"/>
      <c r="H1393" s="89"/>
    </row>
    <row r="1394" spans="1:8" ht="43.5" customHeight="1" x14ac:dyDescent="0.2">
      <c r="A1394" s="20" t="s">
        <v>206</v>
      </c>
      <c r="B1394" s="21" t="s">
        <v>687</v>
      </c>
      <c r="C1394" s="21" t="s">
        <v>281</v>
      </c>
      <c r="D1394" s="22" t="s">
        <v>1059</v>
      </c>
      <c r="E1394" s="21">
        <v>810</v>
      </c>
      <c r="F1394" s="294">
        <f>3920-2400+39.3</f>
        <v>1559.3</v>
      </c>
      <c r="G1394" s="40"/>
      <c r="H1394" s="89"/>
    </row>
    <row r="1395" spans="1:8" ht="43.5" customHeight="1" x14ac:dyDescent="0.2">
      <c r="A1395" s="20" t="s">
        <v>1091</v>
      </c>
      <c r="B1395" s="21" t="s">
        <v>687</v>
      </c>
      <c r="C1395" s="21" t="s">
        <v>281</v>
      </c>
      <c r="D1395" s="22" t="s">
        <v>1090</v>
      </c>
      <c r="E1395" s="21"/>
      <c r="F1395" s="294">
        <f>F1396</f>
        <v>170000</v>
      </c>
      <c r="G1395" s="40"/>
      <c r="H1395" s="89"/>
    </row>
    <row r="1396" spans="1:8" ht="43.5" customHeight="1" x14ac:dyDescent="0.2">
      <c r="A1396" s="20" t="s">
        <v>206</v>
      </c>
      <c r="B1396" s="21" t="s">
        <v>687</v>
      </c>
      <c r="C1396" s="21" t="s">
        <v>281</v>
      </c>
      <c r="D1396" s="22" t="s">
        <v>1090</v>
      </c>
      <c r="E1396" s="21">
        <v>810</v>
      </c>
      <c r="F1396" s="294">
        <v>170000</v>
      </c>
      <c r="G1396" s="40"/>
      <c r="H1396" s="89"/>
    </row>
    <row r="1397" spans="1:8" ht="47.25" customHeight="1" x14ac:dyDescent="0.2">
      <c r="A1397" s="20" t="s">
        <v>712</v>
      </c>
      <c r="B1397" s="21" t="s">
        <v>687</v>
      </c>
      <c r="C1397" s="21" t="s">
        <v>281</v>
      </c>
      <c r="D1397" s="22" t="s">
        <v>713</v>
      </c>
      <c r="E1397" s="21"/>
      <c r="F1397" s="294">
        <f>F1398</f>
        <v>52931</v>
      </c>
      <c r="G1397" s="16"/>
      <c r="H1397" s="13"/>
    </row>
    <row r="1398" spans="1:8" ht="31.5" customHeight="1" x14ac:dyDescent="0.2">
      <c r="A1398" s="20" t="s">
        <v>476</v>
      </c>
      <c r="B1398" s="21" t="s">
        <v>687</v>
      </c>
      <c r="C1398" s="21" t="s">
        <v>281</v>
      </c>
      <c r="D1398" s="22" t="s">
        <v>713</v>
      </c>
      <c r="E1398" s="21">
        <v>630</v>
      </c>
      <c r="F1398" s="294">
        <v>52931</v>
      </c>
      <c r="G1398" s="16"/>
      <c r="H1398" s="13"/>
    </row>
    <row r="1399" spans="1:8" ht="31.5" customHeight="1" x14ac:dyDescent="0.2">
      <c r="A1399" s="20" t="s">
        <v>878</v>
      </c>
      <c r="B1399" s="21" t="s">
        <v>687</v>
      </c>
      <c r="C1399" s="21" t="s">
        <v>281</v>
      </c>
      <c r="D1399" s="22" t="s">
        <v>714</v>
      </c>
      <c r="E1399" s="21" t="s">
        <v>13</v>
      </c>
      <c r="F1399" s="294">
        <f>F1400</f>
        <v>1250</v>
      </c>
      <c r="G1399" s="12"/>
      <c r="H1399" s="13"/>
    </row>
    <row r="1400" spans="1:8" ht="31.5" customHeight="1" x14ac:dyDescent="0.2">
      <c r="A1400" s="20" t="s">
        <v>82</v>
      </c>
      <c r="B1400" s="21" t="s">
        <v>687</v>
      </c>
      <c r="C1400" s="21" t="s">
        <v>281</v>
      </c>
      <c r="D1400" s="22" t="s">
        <v>715</v>
      </c>
      <c r="E1400" s="21"/>
      <c r="F1400" s="294">
        <f>F1401</f>
        <v>1250</v>
      </c>
      <c r="G1400" s="12"/>
      <c r="H1400" s="13"/>
    </row>
    <row r="1401" spans="1:8" ht="31.5" x14ac:dyDescent="0.2">
      <c r="A1401" s="14" t="s">
        <v>43</v>
      </c>
      <c r="B1401" s="21" t="s">
        <v>687</v>
      </c>
      <c r="C1401" s="21" t="s">
        <v>281</v>
      </c>
      <c r="D1401" s="22" t="s">
        <v>715</v>
      </c>
      <c r="E1401" s="21">
        <v>240</v>
      </c>
      <c r="F1401" s="294">
        <v>1250</v>
      </c>
      <c r="G1401" s="12"/>
      <c r="H1401" s="13"/>
    </row>
    <row r="1402" spans="1:8" ht="63" customHeight="1" x14ac:dyDescent="0.2">
      <c r="A1402" s="20" t="s">
        <v>824</v>
      </c>
      <c r="B1402" s="21" t="s">
        <v>687</v>
      </c>
      <c r="C1402" s="21" t="s">
        <v>281</v>
      </c>
      <c r="D1402" s="22" t="s">
        <v>822</v>
      </c>
      <c r="E1402" s="21"/>
      <c r="F1402" s="294">
        <f>F1403</f>
        <v>19430</v>
      </c>
      <c r="G1402" s="12"/>
      <c r="H1402" s="13"/>
    </row>
    <row r="1403" spans="1:8" ht="31.5" customHeight="1" x14ac:dyDescent="0.2">
      <c r="A1403" s="20" t="s">
        <v>716</v>
      </c>
      <c r="B1403" s="21" t="s">
        <v>687</v>
      </c>
      <c r="C1403" s="21" t="s">
        <v>281</v>
      </c>
      <c r="D1403" s="22" t="s">
        <v>823</v>
      </c>
      <c r="E1403" s="21"/>
      <c r="F1403" s="294">
        <f>F1404</f>
        <v>19430</v>
      </c>
      <c r="G1403" s="12"/>
      <c r="H1403" s="13"/>
    </row>
    <row r="1404" spans="1:8" ht="31.5" customHeight="1" x14ac:dyDescent="0.2">
      <c r="A1404" s="14" t="s">
        <v>206</v>
      </c>
      <c r="B1404" s="21" t="s">
        <v>687</v>
      </c>
      <c r="C1404" s="21" t="s">
        <v>281</v>
      </c>
      <c r="D1404" s="22" t="s">
        <v>823</v>
      </c>
      <c r="E1404" s="21">
        <v>810</v>
      </c>
      <c r="F1404" s="294">
        <f>8350-3920+15000</f>
        <v>19430</v>
      </c>
      <c r="G1404" s="40"/>
      <c r="H1404" s="13"/>
    </row>
    <row r="1405" spans="1:8" ht="31.5" customHeight="1" x14ac:dyDescent="0.2">
      <c r="A1405" s="20" t="s">
        <v>1051</v>
      </c>
      <c r="B1405" s="21" t="s">
        <v>687</v>
      </c>
      <c r="C1405" s="21" t="s">
        <v>281</v>
      </c>
      <c r="D1405" s="22" t="s">
        <v>1052</v>
      </c>
      <c r="E1405" s="21"/>
      <c r="F1405" s="294">
        <f>F1406+F1408</f>
        <v>17873.7</v>
      </c>
      <c r="G1405" s="40"/>
      <c r="H1405" s="13"/>
    </row>
    <row r="1406" spans="1:8" ht="31.5" customHeight="1" x14ac:dyDescent="0.2">
      <c r="A1406" s="20" t="s">
        <v>1053</v>
      </c>
      <c r="B1406" s="21" t="s">
        <v>687</v>
      </c>
      <c r="C1406" s="21" t="s">
        <v>281</v>
      </c>
      <c r="D1406" s="22" t="s">
        <v>1054</v>
      </c>
      <c r="E1406" s="21"/>
      <c r="F1406" s="294">
        <f>F1407</f>
        <v>17695</v>
      </c>
      <c r="G1406" s="40"/>
      <c r="H1406" s="13"/>
    </row>
    <row r="1407" spans="1:8" ht="31.5" customHeight="1" x14ac:dyDescent="0.2">
      <c r="A1407" s="20" t="s">
        <v>206</v>
      </c>
      <c r="B1407" s="21" t="s">
        <v>687</v>
      </c>
      <c r="C1407" s="21" t="s">
        <v>281</v>
      </c>
      <c r="D1407" s="22" t="s">
        <v>1054</v>
      </c>
      <c r="E1407" s="21">
        <v>810</v>
      </c>
      <c r="F1407" s="294">
        <v>17695</v>
      </c>
      <c r="G1407" s="40"/>
      <c r="H1407" s="13"/>
    </row>
    <row r="1408" spans="1:8" ht="31.5" customHeight="1" x14ac:dyDescent="0.2">
      <c r="A1408" s="20" t="s">
        <v>1055</v>
      </c>
      <c r="B1408" s="21" t="s">
        <v>687</v>
      </c>
      <c r="C1408" s="21" t="s">
        <v>281</v>
      </c>
      <c r="D1408" s="22" t="s">
        <v>1056</v>
      </c>
      <c r="E1408" s="21"/>
      <c r="F1408" s="294">
        <f>F1409</f>
        <v>178.7</v>
      </c>
      <c r="G1408" s="40"/>
      <c r="H1408" s="13"/>
    </row>
    <row r="1409" spans="1:8" ht="31.5" customHeight="1" x14ac:dyDescent="0.2">
      <c r="A1409" s="20" t="s">
        <v>206</v>
      </c>
      <c r="B1409" s="21" t="s">
        <v>687</v>
      </c>
      <c r="C1409" s="21" t="s">
        <v>281</v>
      </c>
      <c r="D1409" s="22" t="s">
        <v>1056</v>
      </c>
      <c r="E1409" s="21">
        <v>810</v>
      </c>
      <c r="F1409" s="294">
        <f>177+1.7</f>
        <v>178.7</v>
      </c>
      <c r="G1409" s="40"/>
      <c r="H1409" s="13"/>
    </row>
    <row r="1410" spans="1:8" ht="51" customHeight="1" x14ac:dyDescent="0.2">
      <c r="A1410" s="20" t="s">
        <v>242</v>
      </c>
      <c r="B1410" s="21" t="s">
        <v>687</v>
      </c>
      <c r="C1410" s="21" t="s">
        <v>281</v>
      </c>
      <c r="D1410" s="22" t="s">
        <v>243</v>
      </c>
      <c r="E1410" s="21" t="s">
        <v>13</v>
      </c>
      <c r="F1410" s="294">
        <f>F1411</f>
        <v>24709</v>
      </c>
      <c r="G1410" s="12"/>
      <c r="H1410" s="13"/>
    </row>
    <row r="1411" spans="1:8" ht="47.25" customHeight="1" x14ac:dyDescent="0.2">
      <c r="A1411" s="20" t="s">
        <v>717</v>
      </c>
      <c r="B1411" s="21" t="s">
        <v>687</v>
      </c>
      <c r="C1411" s="21" t="s">
        <v>281</v>
      </c>
      <c r="D1411" s="22" t="s">
        <v>291</v>
      </c>
      <c r="E1411" s="21" t="s">
        <v>13</v>
      </c>
      <c r="F1411" s="294">
        <f>F1412+F1415</f>
        <v>24709</v>
      </c>
      <c r="G1411" s="12"/>
      <c r="H1411" s="13"/>
    </row>
    <row r="1412" spans="1:8" ht="47.25" customHeight="1" x14ac:dyDescent="0.2">
      <c r="A1412" s="20" t="s">
        <v>718</v>
      </c>
      <c r="B1412" s="21" t="s">
        <v>687</v>
      </c>
      <c r="C1412" s="21" t="s">
        <v>281</v>
      </c>
      <c r="D1412" s="22" t="s">
        <v>826</v>
      </c>
      <c r="E1412" s="21"/>
      <c r="F1412" s="294">
        <f>F1413</f>
        <v>1250</v>
      </c>
      <c r="G1412" s="12"/>
      <c r="H1412" s="13"/>
    </row>
    <row r="1413" spans="1:8" ht="31.5" customHeight="1" x14ac:dyDescent="0.2">
      <c r="A1413" s="20" t="s">
        <v>82</v>
      </c>
      <c r="B1413" s="21" t="s">
        <v>687</v>
      </c>
      <c r="C1413" s="21" t="s">
        <v>281</v>
      </c>
      <c r="D1413" s="22" t="s">
        <v>827</v>
      </c>
      <c r="E1413" s="21"/>
      <c r="F1413" s="294">
        <f>F1414</f>
        <v>1250</v>
      </c>
      <c r="G1413" s="12"/>
      <c r="H1413" s="13"/>
    </row>
    <row r="1414" spans="1:8" ht="33.75" customHeight="1" x14ac:dyDescent="0.2">
      <c r="A1414" s="14" t="s">
        <v>43</v>
      </c>
      <c r="B1414" s="21" t="s">
        <v>687</v>
      </c>
      <c r="C1414" s="21" t="s">
        <v>281</v>
      </c>
      <c r="D1414" s="22" t="s">
        <v>827</v>
      </c>
      <c r="E1414" s="22" t="s">
        <v>719</v>
      </c>
      <c r="F1414" s="294">
        <v>1250</v>
      </c>
      <c r="G1414" s="12"/>
      <c r="H1414" s="13"/>
    </row>
    <row r="1415" spans="1:8" ht="47.25" customHeight="1" x14ac:dyDescent="0.2">
      <c r="A1415" s="20" t="s">
        <v>825</v>
      </c>
      <c r="B1415" s="21" t="s">
        <v>687</v>
      </c>
      <c r="C1415" s="21" t="s">
        <v>281</v>
      </c>
      <c r="D1415" s="22" t="s">
        <v>720</v>
      </c>
      <c r="E1415" s="22"/>
      <c r="F1415" s="294">
        <f>F1416+F1418+F1420</f>
        <v>23459</v>
      </c>
      <c r="G1415" s="12"/>
      <c r="H1415" s="13"/>
    </row>
    <row r="1416" spans="1:8" ht="47.25" customHeight="1" x14ac:dyDescent="0.2">
      <c r="A1416" s="20" t="s">
        <v>246</v>
      </c>
      <c r="B1416" s="21" t="s">
        <v>687</v>
      </c>
      <c r="C1416" s="21" t="s">
        <v>281</v>
      </c>
      <c r="D1416" s="22" t="s">
        <v>721</v>
      </c>
      <c r="E1416" s="22"/>
      <c r="F1416" s="294">
        <f>F1417</f>
        <v>0</v>
      </c>
      <c r="G1416" s="12"/>
      <c r="H1416" s="13"/>
    </row>
    <row r="1417" spans="1:8" ht="31.5" customHeight="1" x14ac:dyDescent="0.2">
      <c r="A1417" s="14" t="s">
        <v>43</v>
      </c>
      <c r="B1417" s="21" t="s">
        <v>687</v>
      </c>
      <c r="C1417" s="21" t="s">
        <v>281</v>
      </c>
      <c r="D1417" s="22" t="s">
        <v>721</v>
      </c>
      <c r="E1417" s="22" t="s">
        <v>719</v>
      </c>
      <c r="F1417" s="294">
        <f>200-200</f>
        <v>0</v>
      </c>
      <c r="G1417" s="16"/>
      <c r="H1417" s="13"/>
    </row>
    <row r="1418" spans="1:8" ht="31.5" customHeight="1" x14ac:dyDescent="0.2">
      <c r="A1418" s="20" t="s">
        <v>82</v>
      </c>
      <c r="B1418" s="21" t="s">
        <v>687</v>
      </c>
      <c r="C1418" s="21" t="s">
        <v>281</v>
      </c>
      <c r="D1418" s="22" t="s">
        <v>722</v>
      </c>
      <c r="E1418" s="22"/>
      <c r="F1418" s="294">
        <f>F1419</f>
        <v>4800</v>
      </c>
      <c r="G1418" s="12"/>
      <c r="H1418" s="13"/>
    </row>
    <row r="1419" spans="1:8" ht="31.5" customHeight="1" x14ac:dyDescent="0.2">
      <c r="A1419" s="14" t="s">
        <v>43</v>
      </c>
      <c r="B1419" s="21" t="s">
        <v>687</v>
      </c>
      <c r="C1419" s="21" t="s">
        <v>281</v>
      </c>
      <c r="D1419" s="22" t="s">
        <v>722</v>
      </c>
      <c r="E1419" s="22" t="s">
        <v>719</v>
      </c>
      <c r="F1419" s="294">
        <v>4800</v>
      </c>
      <c r="G1419" s="16"/>
      <c r="H1419" s="13"/>
    </row>
    <row r="1420" spans="1:8" ht="66.75" customHeight="1" x14ac:dyDescent="0.2">
      <c r="A1420" s="24" t="s">
        <v>1116</v>
      </c>
      <c r="B1420" s="21">
        <v>915</v>
      </c>
      <c r="C1420" s="21" t="s">
        <v>281</v>
      </c>
      <c r="D1420" s="8" t="s">
        <v>866</v>
      </c>
      <c r="E1420" s="95"/>
      <c r="F1420" s="294">
        <f>F1421</f>
        <v>18659</v>
      </c>
      <c r="G1420" s="117"/>
      <c r="H1420" s="13"/>
    </row>
    <row r="1421" spans="1:8" ht="31.5" customHeight="1" x14ac:dyDescent="0.2">
      <c r="A1421" s="14" t="s">
        <v>206</v>
      </c>
      <c r="B1421" s="21">
        <v>915</v>
      </c>
      <c r="C1421" s="21" t="s">
        <v>281</v>
      </c>
      <c r="D1421" s="8" t="s">
        <v>866</v>
      </c>
      <c r="E1421" s="95">
        <v>810</v>
      </c>
      <c r="F1421" s="294">
        <f>18500+159</f>
        <v>18659</v>
      </c>
      <c r="G1421" s="90"/>
      <c r="H1421" s="13"/>
    </row>
    <row r="1422" spans="1:8" ht="15.75" customHeight="1" x14ac:dyDescent="0.2">
      <c r="A1422" s="20" t="s">
        <v>297</v>
      </c>
      <c r="B1422" s="21" t="s">
        <v>687</v>
      </c>
      <c r="C1422" s="21" t="s">
        <v>298</v>
      </c>
      <c r="D1422" s="22" t="s">
        <v>13</v>
      </c>
      <c r="E1422" s="21" t="s">
        <v>13</v>
      </c>
      <c r="F1422" s="294">
        <f>F1423+F1436</f>
        <v>117173.8</v>
      </c>
      <c r="G1422" s="12"/>
      <c r="H1422" s="13"/>
    </row>
    <row r="1423" spans="1:8" ht="31.5" customHeight="1" x14ac:dyDescent="0.2">
      <c r="A1423" s="20" t="s">
        <v>303</v>
      </c>
      <c r="B1423" s="21" t="s">
        <v>687</v>
      </c>
      <c r="C1423" s="21" t="s">
        <v>298</v>
      </c>
      <c r="D1423" s="22" t="s">
        <v>304</v>
      </c>
      <c r="E1423" s="21" t="s">
        <v>13</v>
      </c>
      <c r="F1423" s="294">
        <f>F1424+F1427</f>
        <v>104537.2</v>
      </c>
      <c r="G1423" s="12"/>
      <c r="H1423" s="13"/>
    </row>
    <row r="1424" spans="1:8" ht="31.5" customHeight="1" x14ac:dyDescent="0.2">
      <c r="A1424" s="20" t="s">
        <v>723</v>
      </c>
      <c r="B1424" s="21" t="s">
        <v>687</v>
      </c>
      <c r="C1424" s="22" t="s">
        <v>298</v>
      </c>
      <c r="D1424" s="22" t="s">
        <v>724</v>
      </c>
      <c r="E1424" s="7"/>
      <c r="F1424" s="294">
        <f>F1425</f>
        <v>4000</v>
      </c>
      <c r="G1424" s="16"/>
      <c r="H1424" s="90"/>
    </row>
    <row r="1425" spans="1:8" ht="31.5" customHeight="1" x14ac:dyDescent="0.2">
      <c r="A1425" s="20" t="s">
        <v>82</v>
      </c>
      <c r="B1425" s="21" t="s">
        <v>687</v>
      </c>
      <c r="C1425" s="22" t="s">
        <v>298</v>
      </c>
      <c r="D1425" s="22" t="s">
        <v>725</v>
      </c>
      <c r="E1425" s="7"/>
      <c r="F1425" s="294">
        <f>F1426</f>
        <v>4000</v>
      </c>
      <c r="G1425" s="16"/>
      <c r="H1425" s="90"/>
    </row>
    <row r="1426" spans="1:8" ht="47.25" customHeight="1" x14ac:dyDescent="0.2">
      <c r="A1426" s="14" t="s">
        <v>43</v>
      </c>
      <c r="B1426" s="21" t="s">
        <v>687</v>
      </c>
      <c r="C1426" s="22" t="s">
        <v>298</v>
      </c>
      <c r="D1426" s="22" t="s">
        <v>725</v>
      </c>
      <c r="E1426" s="7">
        <v>240</v>
      </c>
      <c r="F1426" s="294">
        <v>4000</v>
      </c>
      <c r="G1426" s="263"/>
      <c r="H1426" s="90"/>
    </row>
    <row r="1427" spans="1:8" ht="31.5" customHeight="1" x14ac:dyDescent="0.2">
      <c r="A1427" s="20" t="s">
        <v>769</v>
      </c>
      <c r="B1427" s="21">
        <v>915</v>
      </c>
      <c r="C1427" s="22" t="s">
        <v>298</v>
      </c>
      <c r="D1427" s="22" t="s">
        <v>726</v>
      </c>
      <c r="E1427" s="21"/>
      <c r="F1427" s="294">
        <f>F1428+F1430+F1432+F1434</f>
        <v>100537.2</v>
      </c>
      <c r="G1427" s="16"/>
      <c r="H1427" s="13"/>
    </row>
    <row r="1428" spans="1:8" ht="31.5" customHeight="1" x14ac:dyDescent="0.2">
      <c r="A1428" s="94" t="s">
        <v>1093</v>
      </c>
      <c r="B1428" s="21" t="s">
        <v>687</v>
      </c>
      <c r="C1428" s="22" t="s">
        <v>298</v>
      </c>
      <c r="D1428" s="22" t="s">
        <v>1092</v>
      </c>
      <c r="E1428" s="21"/>
      <c r="F1428" s="294">
        <f>F1429</f>
        <v>6000</v>
      </c>
      <c r="G1428" s="16"/>
      <c r="H1428" s="13"/>
    </row>
    <row r="1429" spans="1:8" ht="31.5" customHeight="1" x14ac:dyDescent="0.2">
      <c r="A1429" s="20" t="s">
        <v>206</v>
      </c>
      <c r="B1429" s="21" t="s">
        <v>687</v>
      </c>
      <c r="C1429" s="22" t="s">
        <v>298</v>
      </c>
      <c r="D1429" s="22" t="s">
        <v>1092</v>
      </c>
      <c r="E1429" s="21">
        <v>810</v>
      </c>
      <c r="F1429" s="294">
        <v>6000</v>
      </c>
      <c r="G1429" s="16"/>
      <c r="H1429" s="13"/>
    </row>
    <row r="1430" spans="1:8" ht="110.25" x14ac:dyDescent="0.2">
      <c r="A1430" s="91" t="s">
        <v>727</v>
      </c>
      <c r="B1430" s="92" t="s">
        <v>687</v>
      </c>
      <c r="C1430" s="98" t="s">
        <v>298</v>
      </c>
      <c r="D1430" s="22" t="s">
        <v>959</v>
      </c>
      <c r="E1430" s="92"/>
      <c r="F1430" s="294">
        <f>F1431</f>
        <v>6663.2</v>
      </c>
      <c r="G1430" s="90"/>
      <c r="H1430" s="13"/>
    </row>
    <row r="1431" spans="1:8" ht="31.5" customHeight="1" x14ac:dyDescent="0.2">
      <c r="A1431" s="14" t="s">
        <v>206</v>
      </c>
      <c r="B1431" s="92" t="s">
        <v>687</v>
      </c>
      <c r="C1431" s="98" t="s">
        <v>298</v>
      </c>
      <c r="D1431" s="22" t="s">
        <v>959</v>
      </c>
      <c r="E1431" s="92" t="s">
        <v>207</v>
      </c>
      <c r="F1431" s="294">
        <f>2113.2+4550</f>
        <v>6663.2</v>
      </c>
      <c r="G1431" s="90"/>
      <c r="H1431" s="13"/>
    </row>
    <row r="1432" spans="1:8" ht="47.25" customHeight="1" x14ac:dyDescent="0.2">
      <c r="A1432" s="14" t="s">
        <v>771</v>
      </c>
      <c r="B1432" s="21">
        <v>915</v>
      </c>
      <c r="C1432" s="22" t="s">
        <v>298</v>
      </c>
      <c r="D1432" s="22" t="s">
        <v>770</v>
      </c>
      <c r="E1432" s="21"/>
      <c r="F1432" s="294">
        <f>F1433</f>
        <v>77874</v>
      </c>
      <c r="G1432" s="16"/>
      <c r="H1432" s="13"/>
    </row>
    <row r="1433" spans="1:8" ht="31.5" customHeight="1" x14ac:dyDescent="0.2">
      <c r="A1433" s="14" t="s">
        <v>206</v>
      </c>
      <c r="B1433" s="21" t="s">
        <v>687</v>
      </c>
      <c r="C1433" s="22" t="s">
        <v>298</v>
      </c>
      <c r="D1433" s="22" t="s">
        <v>770</v>
      </c>
      <c r="E1433" s="21">
        <v>810</v>
      </c>
      <c r="F1433" s="294">
        <f>5000-126+73000</f>
        <v>77874</v>
      </c>
      <c r="G1433" s="16"/>
      <c r="H1433" s="13"/>
    </row>
    <row r="1434" spans="1:8" ht="31.5" customHeight="1" x14ac:dyDescent="0.2">
      <c r="A1434" s="227" t="s">
        <v>1095</v>
      </c>
      <c r="B1434" s="92" t="s">
        <v>687</v>
      </c>
      <c r="C1434" s="98" t="s">
        <v>298</v>
      </c>
      <c r="D1434" s="22" t="s">
        <v>1094</v>
      </c>
      <c r="E1434" s="21"/>
      <c r="F1434" s="294">
        <f>F1435</f>
        <v>10000</v>
      </c>
      <c r="G1434" s="16"/>
      <c r="H1434" s="13"/>
    </row>
    <row r="1435" spans="1:8" ht="31.5" customHeight="1" x14ac:dyDescent="0.2">
      <c r="A1435" s="20" t="s">
        <v>206</v>
      </c>
      <c r="B1435" s="92" t="s">
        <v>687</v>
      </c>
      <c r="C1435" s="98" t="s">
        <v>298</v>
      </c>
      <c r="D1435" s="22" t="s">
        <v>1094</v>
      </c>
      <c r="E1435" s="21">
        <v>810</v>
      </c>
      <c r="F1435" s="294">
        <v>10000</v>
      </c>
      <c r="G1435" s="16"/>
      <c r="H1435" s="13"/>
    </row>
    <row r="1436" spans="1:8" ht="49.5" customHeight="1" x14ac:dyDescent="0.2">
      <c r="A1436" s="139" t="s">
        <v>242</v>
      </c>
      <c r="B1436" s="92" t="s">
        <v>687</v>
      </c>
      <c r="C1436" s="98" t="s">
        <v>298</v>
      </c>
      <c r="D1436" s="8" t="s">
        <v>243</v>
      </c>
      <c r="E1436" s="95"/>
      <c r="F1436" s="294">
        <f>F1437</f>
        <v>12636.6</v>
      </c>
      <c r="G1436" s="16"/>
      <c r="H1436" s="13"/>
    </row>
    <row r="1437" spans="1:8" ht="31.5" customHeight="1" x14ac:dyDescent="0.2">
      <c r="A1437" s="139" t="s">
        <v>244</v>
      </c>
      <c r="B1437" s="92" t="s">
        <v>687</v>
      </c>
      <c r="C1437" s="98" t="s">
        <v>298</v>
      </c>
      <c r="D1437" s="8" t="s">
        <v>245</v>
      </c>
      <c r="E1437" s="95"/>
      <c r="F1437" s="294">
        <f>F1438</f>
        <v>12636.6</v>
      </c>
      <c r="G1437" s="16"/>
      <c r="H1437" s="13"/>
    </row>
    <row r="1438" spans="1:8" ht="31.5" customHeight="1" x14ac:dyDescent="0.2">
      <c r="A1438" s="139" t="s">
        <v>251</v>
      </c>
      <c r="B1438" s="92" t="s">
        <v>687</v>
      </c>
      <c r="C1438" s="22" t="s">
        <v>298</v>
      </c>
      <c r="D1438" s="8" t="s">
        <v>252</v>
      </c>
      <c r="E1438" s="95"/>
      <c r="F1438" s="294">
        <f>F1439+F1441</f>
        <v>12636.6</v>
      </c>
      <c r="G1438" s="16"/>
      <c r="H1438" s="13"/>
    </row>
    <row r="1439" spans="1:8" ht="31.5" customHeight="1" x14ac:dyDescent="0.2">
      <c r="A1439" s="115" t="s">
        <v>1068</v>
      </c>
      <c r="B1439" s="92" t="s">
        <v>687</v>
      </c>
      <c r="C1439" s="22" t="s">
        <v>298</v>
      </c>
      <c r="D1439" s="8" t="s">
        <v>1070</v>
      </c>
      <c r="E1439" s="95"/>
      <c r="F1439" s="294">
        <f>F1440</f>
        <v>12510.6</v>
      </c>
      <c r="G1439" s="16"/>
      <c r="H1439" s="13"/>
    </row>
    <row r="1440" spans="1:8" ht="31.5" customHeight="1" x14ac:dyDescent="0.2">
      <c r="A1440" s="97" t="s">
        <v>206</v>
      </c>
      <c r="B1440" s="92" t="s">
        <v>687</v>
      </c>
      <c r="C1440" s="98" t="s">
        <v>298</v>
      </c>
      <c r="D1440" s="8" t="s">
        <v>1070</v>
      </c>
      <c r="E1440" s="95">
        <v>810</v>
      </c>
      <c r="F1440" s="294">
        <v>12510.6</v>
      </c>
      <c r="G1440" s="16"/>
      <c r="H1440" s="13"/>
    </row>
    <row r="1441" spans="1:8" ht="31.5" customHeight="1" x14ac:dyDescent="0.2">
      <c r="A1441" s="115" t="s">
        <v>1069</v>
      </c>
      <c r="B1441" s="92" t="s">
        <v>687</v>
      </c>
      <c r="C1441" s="98" t="s">
        <v>298</v>
      </c>
      <c r="D1441" s="8" t="s">
        <v>1071</v>
      </c>
      <c r="E1441" s="95"/>
      <c r="F1441" s="294">
        <f>F1442</f>
        <v>126</v>
      </c>
      <c r="G1441" s="16"/>
      <c r="H1441" s="13"/>
    </row>
    <row r="1442" spans="1:8" ht="31.5" customHeight="1" x14ac:dyDescent="0.2">
      <c r="A1442" s="97" t="s">
        <v>206</v>
      </c>
      <c r="B1442" s="92" t="s">
        <v>687</v>
      </c>
      <c r="C1442" s="22" t="s">
        <v>298</v>
      </c>
      <c r="D1442" s="8" t="s">
        <v>1071</v>
      </c>
      <c r="E1442" s="95">
        <v>810</v>
      </c>
      <c r="F1442" s="294">
        <v>126</v>
      </c>
      <c r="G1442" s="16"/>
      <c r="H1442" s="13"/>
    </row>
    <row r="1443" spans="1:8" ht="15.75" customHeight="1" x14ac:dyDescent="0.2">
      <c r="A1443" s="91" t="s">
        <v>320</v>
      </c>
      <c r="B1443" s="92" t="s">
        <v>687</v>
      </c>
      <c r="C1443" s="92" t="s">
        <v>321</v>
      </c>
      <c r="D1443" s="22" t="s">
        <v>13</v>
      </c>
      <c r="E1443" s="92" t="s">
        <v>13</v>
      </c>
      <c r="F1443" s="294">
        <f>F1444</f>
        <v>566794</v>
      </c>
      <c r="G1443" s="12"/>
      <c r="H1443" s="13"/>
    </row>
    <row r="1444" spans="1:8" ht="47.25" customHeight="1" x14ac:dyDescent="0.2">
      <c r="A1444" s="91" t="s">
        <v>237</v>
      </c>
      <c r="B1444" s="92" t="s">
        <v>687</v>
      </c>
      <c r="C1444" s="92" t="s">
        <v>321</v>
      </c>
      <c r="D1444" s="22" t="s">
        <v>238</v>
      </c>
      <c r="E1444" s="92" t="s">
        <v>13</v>
      </c>
      <c r="F1444" s="294">
        <f>F1445+F1448+F1459+F1467+F1464+F1474</f>
        <v>566794</v>
      </c>
      <c r="G1444" s="12"/>
      <c r="H1444" s="13"/>
    </row>
    <row r="1445" spans="1:8" ht="15.75" customHeight="1" x14ac:dyDescent="0.2">
      <c r="A1445" s="91" t="s">
        <v>728</v>
      </c>
      <c r="B1445" s="92" t="s">
        <v>687</v>
      </c>
      <c r="C1445" s="92" t="s">
        <v>321</v>
      </c>
      <c r="D1445" s="22" t="s">
        <v>729</v>
      </c>
      <c r="E1445" s="92" t="s">
        <v>13</v>
      </c>
      <c r="F1445" s="294">
        <f>SUM(F1446)</f>
        <v>30500</v>
      </c>
      <c r="G1445" s="12"/>
      <c r="H1445" s="13"/>
    </row>
    <row r="1446" spans="1:8" ht="31.5" customHeight="1" x14ac:dyDescent="0.2">
      <c r="A1446" s="20" t="s">
        <v>82</v>
      </c>
      <c r="B1446" s="92" t="s">
        <v>687</v>
      </c>
      <c r="C1446" s="92" t="s">
        <v>321</v>
      </c>
      <c r="D1446" s="22" t="s">
        <v>730</v>
      </c>
      <c r="E1446" s="92"/>
      <c r="F1446" s="294">
        <f>F1447</f>
        <v>30500</v>
      </c>
      <c r="G1446" s="12"/>
      <c r="H1446" s="13"/>
    </row>
    <row r="1447" spans="1:8" ht="47.25" customHeight="1" x14ac:dyDescent="0.2">
      <c r="A1447" s="14" t="s">
        <v>43</v>
      </c>
      <c r="B1447" s="92" t="s">
        <v>687</v>
      </c>
      <c r="C1447" s="92" t="s">
        <v>321</v>
      </c>
      <c r="D1447" s="22" t="s">
        <v>730</v>
      </c>
      <c r="E1447" s="92">
        <v>240</v>
      </c>
      <c r="F1447" s="294">
        <f>500+10000+20000</f>
        <v>30500</v>
      </c>
      <c r="G1447" s="12"/>
      <c r="H1447" s="13"/>
    </row>
    <row r="1448" spans="1:8" ht="15.75" customHeight="1" x14ac:dyDescent="0.2">
      <c r="A1448" s="91" t="s">
        <v>239</v>
      </c>
      <c r="B1448" s="92" t="s">
        <v>687</v>
      </c>
      <c r="C1448" s="92" t="s">
        <v>321</v>
      </c>
      <c r="D1448" s="22" t="s">
        <v>240</v>
      </c>
      <c r="E1448" s="92" t="s">
        <v>13</v>
      </c>
      <c r="F1448" s="294">
        <f>F1449+F1451+F1455+F1457+F1453</f>
        <v>461000</v>
      </c>
      <c r="G1448" s="12"/>
      <c r="H1448" s="13"/>
    </row>
    <row r="1449" spans="1:8" ht="31.5" customHeight="1" x14ac:dyDescent="0.2">
      <c r="A1449" s="94" t="s">
        <v>40</v>
      </c>
      <c r="B1449" s="92" t="s">
        <v>687</v>
      </c>
      <c r="C1449" s="92" t="s">
        <v>321</v>
      </c>
      <c r="D1449" s="22" t="s">
        <v>731</v>
      </c>
      <c r="E1449" s="92"/>
      <c r="F1449" s="294">
        <f>F1450</f>
        <v>107000</v>
      </c>
      <c r="G1449" s="12"/>
      <c r="H1449" s="13"/>
    </row>
    <row r="1450" spans="1:8" ht="47.25" customHeight="1" x14ac:dyDescent="0.2">
      <c r="A1450" s="20" t="s">
        <v>998</v>
      </c>
      <c r="B1450" s="92" t="s">
        <v>687</v>
      </c>
      <c r="C1450" s="92" t="s">
        <v>321</v>
      </c>
      <c r="D1450" s="22" t="s">
        <v>731</v>
      </c>
      <c r="E1450" s="21">
        <v>610</v>
      </c>
      <c r="F1450" s="294">
        <f>40000+67000</f>
        <v>107000</v>
      </c>
      <c r="G1450" s="16"/>
      <c r="H1450" s="13"/>
    </row>
    <row r="1451" spans="1:8" ht="31.5" customHeight="1" x14ac:dyDescent="0.2">
      <c r="A1451" s="20" t="s">
        <v>82</v>
      </c>
      <c r="B1451" s="92" t="s">
        <v>687</v>
      </c>
      <c r="C1451" s="92" t="s">
        <v>321</v>
      </c>
      <c r="D1451" s="22" t="s">
        <v>241</v>
      </c>
      <c r="E1451" s="92"/>
      <c r="F1451" s="294">
        <f>F1452</f>
        <v>75818.2</v>
      </c>
      <c r="G1451" s="12"/>
      <c r="H1451" s="13"/>
    </row>
    <row r="1452" spans="1:8" ht="31.5" x14ac:dyDescent="0.2">
      <c r="A1452" s="14" t="s">
        <v>43</v>
      </c>
      <c r="B1452" s="92" t="s">
        <v>687</v>
      </c>
      <c r="C1452" s="92" t="s">
        <v>321</v>
      </c>
      <c r="D1452" s="22" t="s">
        <v>241</v>
      </c>
      <c r="E1452" s="92">
        <v>240</v>
      </c>
      <c r="F1452" s="294">
        <f>65818.2+10000</f>
        <v>75818.2</v>
      </c>
      <c r="G1452" s="16"/>
      <c r="H1452" s="13"/>
    </row>
    <row r="1453" spans="1:8" ht="47.25" x14ac:dyDescent="0.2">
      <c r="A1453" s="227" t="s">
        <v>902</v>
      </c>
      <c r="B1453" s="92">
        <v>915</v>
      </c>
      <c r="C1453" s="7" t="s">
        <v>321</v>
      </c>
      <c r="D1453" s="22" t="s">
        <v>896</v>
      </c>
      <c r="E1453" s="7"/>
      <c r="F1453" s="294">
        <f>F1454</f>
        <v>767.59999999999991</v>
      </c>
      <c r="G1453" s="182"/>
      <c r="H1453" s="13"/>
    </row>
    <row r="1454" spans="1:8" ht="47.25" x14ac:dyDescent="0.2">
      <c r="A1454" s="14" t="s">
        <v>206</v>
      </c>
      <c r="B1454" s="92">
        <v>915</v>
      </c>
      <c r="C1454" s="95" t="s">
        <v>321</v>
      </c>
      <c r="D1454" s="22" t="s">
        <v>896</v>
      </c>
      <c r="E1454" s="95">
        <v>810</v>
      </c>
      <c r="F1454" s="294">
        <f>181.8+585.8</f>
        <v>767.59999999999991</v>
      </c>
      <c r="G1454" s="205"/>
      <c r="H1454" s="13"/>
    </row>
    <row r="1455" spans="1:8" ht="78.75" customHeight="1" x14ac:dyDescent="0.2">
      <c r="A1455" s="24" t="s">
        <v>766</v>
      </c>
      <c r="B1455" s="92" t="s">
        <v>687</v>
      </c>
      <c r="C1455" s="92" t="s">
        <v>321</v>
      </c>
      <c r="D1455" s="22" t="s">
        <v>732</v>
      </c>
      <c r="E1455" s="92"/>
      <c r="F1455" s="294">
        <f>F1456</f>
        <v>161000</v>
      </c>
      <c r="G1455" s="12"/>
      <c r="H1455" s="13"/>
    </row>
    <row r="1456" spans="1:8" ht="47.25" x14ac:dyDescent="0.2">
      <c r="A1456" s="14" t="s">
        <v>206</v>
      </c>
      <c r="B1456" s="92" t="s">
        <v>687</v>
      </c>
      <c r="C1456" s="92" t="s">
        <v>321</v>
      </c>
      <c r="D1456" s="22" t="s">
        <v>732</v>
      </c>
      <c r="E1456" s="92">
        <v>810</v>
      </c>
      <c r="F1456" s="294">
        <f>61000+100000</f>
        <v>161000</v>
      </c>
      <c r="G1456" s="152"/>
      <c r="H1456" s="13"/>
    </row>
    <row r="1457" spans="1:8" ht="68.25" customHeight="1" x14ac:dyDescent="0.2">
      <c r="A1457" s="24" t="s">
        <v>1116</v>
      </c>
      <c r="B1457" s="92" t="s">
        <v>687</v>
      </c>
      <c r="C1457" s="92" t="s">
        <v>321</v>
      </c>
      <c r="D1457" s="22" t="s">
        <v>707</v>
      </c>
      <c r="E1457" s="92"/>
      <c r="F1457" s="294">
        <f>F1458</f>
        <v>116414.2</v>
      </c>
      <c r="G1457" s="12"/>
      <c r="H1457" s="13"/>
    </row>
    <row r="1458" spans="1:8" ht="47.25" x14ac:dyDescent="0.2">
      <c r="A1458" s="14" t="s">
        <v>206</v>
      </c>
      <c r="B1458" s="92" t="s">
        <v>687</v>
      </c>
      <c r="C1458" s="92" t="s">
        <v>321</v>
      </c>
      <c r="D1458" s="22" t="s">
        <v>707</v>
      </c>
      <c r="E1458" s="92">
        <v>810</v>
      </c>
      <c r="F1458" s="294">
        <f>57000-585.8+46900+13100</f>
        <v>116414.2</v>
      </c>
      <c r="G1458" s="53"/>
      <c r="H1458" s="13"/>
    </row>
    <row r="1459" spans="1:8" ht="18.75" customHeight="1" x14ac:dyDescent="0.2">
      <c r="A1459" s="91" t="s">
        <v>733</v>
      </c>
      <c r="B1459" s="92" t="s">
        <v>687</v>
      </c>
      <c r="C1459" s="92" t="s">
        <v>321</v>
      </c>
      <c r="D1459" s="22" t="s">
        <v>734</v>
      </c>
      <c r="E1459" s="92" t="s">
        <v>13</v>
      </c>
      <c r="F1459" s="294">
        <f>F1460+F1462</f>
        <v>42000</v>
      </c>
      <c r="G1459" s="12"/>
      <c r="H1459" s="13"/>
    </row>
    <row r="1460" spans="1:8" ht="31.5" customHeight="1" x14ac:dyDescent="0.2">
      <c r="A1460" s="94" t="s">
        <v>40</v>
      </c>
      <c r="B1460" s="92" t="s">
        <v>687</v>
      </c>
      <c r="C1460" s="92" t="s">
        <v>321</v>
      </c>
      <c r="D1460" s="22" t="s">
        <v>735</v>
      </c>
      <c r="E1460" s="92"/>
      <c r="F1460" s="294">
        <f>F1461</f>
        <v>38000</v>
      </c>
      <c r="G1460" s="12"/>
      <c r="H1460" s="13"/>
    </row>
    <row r="1461" spans="1:8" ht="51" customHeight="1" x14ac:dyDescent="0.2">
      <c r="A1461" s="20" t="s">
        <v>998</v>
      </c>
      <c r="B1461" s="92" t="s">
        <v>687</v>
      </c>
      <c r="C1461" s="92" t="s">
        <v>321</v>
      </c>
      <c r="D1461" s="22" t="s">
        <v>735</v>
      </c>
      <c r="E1461" s="21">
        <v>610</v>
      </c>
      <c r="F1461" s="294">
        <v>38000</v>
      </c>
      <c r="G1461" s="152"/>
      <c r="H1461" s="13"/>
    </row>
    <row r="1462" spans="1:8" ht="31.5" customHeight="1" x14ac:dyDescent="0.2">
      <c r="A1462" s="20" t="s">
        <v>82</v>
      </c>
      <c r="B1462" s="92" t="s">
        <v>687</v>
      </c>
      <c r="C1462" s="92" t="s">
        <v>321</v>
      </c>
      <c r="D1462" s="22" t="s">
        <v>736</v>
      </c>
      <c r="E1462" s="92"/>
      <c r="F1462" s="294">
        <f>F1463</f>
        <v>4000</v>
      </c>
      <c r="G1462" s="12"/>
      <c r="H1462" s="13"/>
    </row>
    <row r="1463" spans="1:8" ht="33.75" customHeight="1" x14ac:dyDescent="0.2">
      <c r="A1463" s="14" t="s">
        <v>43</v>
      </c>
      <c r="B1463" s="92" t="s">
        <v>687</v>
      </c>
      <c r="C1463" s="92" t="s">
        <v>321</v>
      </c>
      <c r="D1463" s="22" t="s">
        <v>736</v>
      </c>
      <c r="E1463" s="92">
        <v>240</v>
      </c>
      <c r="F1463" s="294">
        <v>4000</v>
      </c>
      <c r="G1463" s="51"/>
      <c r="H1463" s="13"/>
    </row>
    <row r="1464" spans="1:8" ht="33" customHeight="1" x14ac:dyDescent="0.2">
      <c r="A1464" s="97" t="s">
        <v>832</v>
      </c>
      <c r="B1464" s="92">
        <v>915</v>
      </c>
      <c r="C1464" s="95" t="s">
        <v>321</v>
      </c>
      <c r="D1464" s="8" t="s">
        <v>834</v>
      </c>
      <c r="E1464" s="95" t="s">
        <v>13</v>
      </c>
      <c r="F1464" s="294">
        <f>F1465</f>
        <v>7224</v>
      </c>
      <c r="G1464" s="23"/>
      <c r="H1464" s="13"/>
    </row>
    <row r="1465" spans="1:8" ht="47.25" customHeight="1" x14ac:dyDescent="0.2">
      <c r="A1465" s="115" t="s">
        <v>833</v>
      </c>
      <c r="B1465" s="92">
        <v>915</v>
      </c>
      <c r="C1465" s="95" t="s">
        <v>321</v>
      </c>
      <c r="D1465" s="8" t="s">
        <v>835</v>
      </c>
      <c r="E1465" s="95"/>
      <c r="F1465" s="294">
        <f>F1466</f>
        <v>7224</v>
      </c>
      <c r="G1465" s="23"/>
      <c r="H1465" s="13"/>
    </row>
    <row r="1466" spans="1:8" ht="20.25" customHeight="1" x14ac:dyDescent="0.2">
      <c r="A1466" s="20" t="s">
        <v>998</v>
      </c>
      <c r="B1466" s="92">
        <v>915</v>
      </c>
      <c r="C1466" s="95" t="s">
        <v>321</v>
      </c>
      <c r="D1466" s="8" t="s">
        <v>835</v>
      </c>
      <c r="E1466" s="303">
        <v>610</v>
      </c>
      <c r="F1466" s="294">
        <v>7224</v>
      </c>
      <c r="G1466" s="23"/>
      <c r="H1466" s="13"/>
    </row>
    <row r="1467" spans="1:8" ht="31.5" customHeight="1" x14ac:dyDescent="0.2">
      <c r="A1467" s="91" t="s">
        <v>533</v>
      </c>
      <c r="B1467" s="92" t="s">
        <v>687</v>
      </c>
      <c r="C1467" s="92" t="s">
        <v>321</v>
      </c>
      <c r="D1467" s="22" t="s">
        <v>534</v>
      </c>
      <c r="E1467" s="92" t="s">
        <v>13</v>
      </c>
      <c r="F1467" s="294">
        <f>F1470+F1468+F1472</f>
        <v>13070</v>
      </c>
      <c r="G1467" s="12"/>
      <c r="H1467" s="13"/>
    </row>
    <row r="1468" spans="1:8" ht="31.5" customHeight="1" x14ac:dyDescent="0.2">
      <c r="A1468" s="94" t="s">
        <v>40</v>
      </c>
      <c r="B1468" s="92" t="s">
        <v>687</v>
      </c>
      <c r="C1468" s="92" t="s">
        <v>321</v>
      </c>
      <c r="D1468" s="22" t="s">
        <v>737</v>
      </c>
      <c r="E1468" s="92"/>
      <c r="F1468" s="294">
        <f>F1469</f>
        <v>2100</v>
      </c>
      <c r="G1468" s="12"/>
      <c r="H1468" s="13"/>
    </row>
    <row r="1469" spans="1:8" ht="47.25" customHeight="1" x14ac:dyDescent="0.2">
      <c r="A1469" s="20" t="s">
        <v>998</v>
      </c>
      <c r="B1469" s="92" t="s">
        <v>687</v>
      </c>
      <c r="C1469" s="92" t="s">
        <v>321</v>
      </c>
      <c r="D1469" s="22" t="s">
        <v>737</v>
      </c>
      <c r="E1469" s="92">
        <v>610</v>
      </c>
      <c r="F1469" s="294">
        <v>2100</v>
      </c>
      <c r="G1469" s="51"/>
      <c r="H1469" s="13"/>
    </row>
    <row r="1470" spans="1:8" ht="31.5" customHeight="1" x14ac:dyDescent="0.2">
      <c r="A1470" s="20" t="s">
        <v>82</v>
      </c>
      <c r="B1470" s="92" t="s">
        <v>687</v>
      </c>
      <c r="C1470" s="92" t="s">
        <v>321</v>
      </c>
      <c r="D1470" s="22" t="s">
        <v>535</v>
      </c>
      <c r="E1470" s="92"/>
      <c r="F1470" s="294">
        <f>F1471</f>
        <v>500</v>
      </c>
      <c r="G1470" s="23"/>
      <c r="H1470" s="13"/>
    </row>
    <row r="1471" spans="1:8" ht="47.25" customHeight="1" x14ac:dyDescent="0.2">
      <c r="A1471" s="14" t="s">
        <v>43</v>
      </c>
      <c r="B1471" s="92" t="s">
        <v>687</v>
      </c>
      <c r="C1471" s="92" t="s">
        <v>321</v>
      </c>
      <c r="D1471" s="22" t="s">
        <v>535</v>
      </c>
      <c r="E1471" s="92">
        <v>240</v>
      </c>
      <c r="F1471" s="294">
        <v>500</v>
      </c>
      <c r="G1471" s="51"/>
      <c r="H1471" s="13"/>
    </row>
    <row r="1472" spans="1:8" ht="66.75" customHeight="1" x14ac:dyDescent="0.2">
      <c r="A1472" s="24" t="s">
        <v>1116</v>
      </c>
      <c r="B1472" s="92" t="s">
        <v>687</v>
      </c>
      <c r="C1472" s="92" t="s">
        <v>321</v>
      </c>
      <c r="D1472" s="22" t="s">
        <v>901</v>
      </c>
      <c r="E1472" s="92"/>
      <c r="F1472" s="294">
        <f>F1473</f>
        <v>10470</v>
      </c>
      <c r="G1472" s="263"/>
      <c r="H1472" s="13"/>
    </row>
    <row r="1473" spans="1:8" ht="47.25" customHeight="1" x14ac:dyDescent="0.2">
      <c r="A1473" s="14" t="s">
        <v>206</v>
      </c>
      <c r="B1473" s="92" t="s">
        <v>687</v>
      </c>
      <c r="C1473" s="92" t="s">
        <v>321</v>
      </c>
      <c r="D1473" s="22" t="s">
        <v>901</v>
      </c>
      <c r="E1473" s="92">
        <v>810</v>
      </c>
      <c r="F1473" s="294">
        <v>10470</v>
      </c>
      <c r="G1473" s="16"/>
      <c r="H1473" s="13"/>
    </row>
    <row r="1474" spans="1:8" ht="47.25" customHeight="1" x14ac:dyDescent="0.2">
      <c r="A1474" s="91" t="s">
        <v>708</v>
      </c>
      <c r="B1474" s="92" t="s">
        <v>687</v>
      </c>
      <c r="C1474" s="92" t="s">
        <v>321</v>
      </c>
      <c r="D1474" s="93" t="s">
        <v>709</v>
      </c>
      <c r="E1474" s="92" t="s">
        <v>13</v>
      </c>
      <c r="F1474" s="208">
        <f>F1475</f>
        <v>13000</v>
      </c>
      <c r="G1474" s="90"/>
      <c r="H1474" s="13"/>
    </row>
    <row r="1475" spans="1:8" ht="47.25" customHeight="1" x14ac:dyDescent="0.2">
      <c r="A1475" s="94" t="s">
        <v>82</v>
      </c>
      <c r="B1475" s="92" t="s">
        <v>687</v>
      </c>
      <c r="C1475" s="92" t="s">
        <v>321</v>
      </c>
      <c r="D1475" s="93" t="s">
        <v>710</v>
      </c>
      <c r="E1475" s="92"/>
      <c r="F1475" s="208">
        <f>F1476</f>
        <v>13000</v>
      </c>
      <c r="G1475" s="90"/>
      <c r="H1475" s="13"/>
    </row>
    <row r="1476" spans="1:8" ht="47.25" customHeight="1" x14ac:dyDescent="0.2">
      <c r="A1476" s="105" t="s">
        <v>43</v>
      </c>
      <c r="B1476" s="92" t="s">
        <v>687</v>
      </c>
      <c r="C1476" s="95" t="s">
        <v>321</v>
      </c>
      <c r="D1476" s="96" t="s">
        <v>710</v>
      </c>
      <c r="E1476" s="95">
        <v>240</v>
      </c>
      <c r="F1476" s="208">
        <v>13000</v>
      </c>
      <c r="G1476" s="90"/>
      <c r="H1476" s="13"/>
    </row>
    <row r="1477" spans="1:8" ht="15.75" customHeight="1" x14ac:dyDescent="0.2">
      <c r="A1477" s="99" t="s">
        <v>738</v>
      </c>
      <c r="B1477" s="100" t="s">
        <v>687</v>
      </c>
      <c r="C1477" s="100" t="s">
        <v>739</v>
      </c>
      <c r="D1477" s="22" t="s">
        <v>13</v>
      </c>
      <c r="E1477" s="92" t="s">
        <v>13</v>
      </c>
      <c r="F1477" s="296">
        <f>F1478+F1484+F1489</f>
        <v>201750.1</v>
      </c>
      <c r="G1477" s="12"/>
      <c r="H1477" s="13"/>
    </row>
    <row r="1478" spans="1:8" ht="47.25" customHeight="1" x14ac:dyDescent="0.2">
      <c r="A1478" s="20" t="s">
        <v>75</v>
      </c>
      <c r="B1478" s="21">
        <v>915</v>
      </c>
      <c r="C1478" s="92" t="s">
        <v>739</v>
      </c>
      <c r="D1478" s="22" t="s">
        <v>76</v>
      </c>
      <c r="E1478" s="21" t="s">
        <v>13</v>
      </c>
      <c r="F1478" s="294">
        <f>F1479</f>
        <v>25</v>
      </c>
      <c r="G1478" s="12"/>
      <c r="H1478" s="13"/>
    </row>
    <row r="1479" spans="1:8" ht="15.75" customHeight="1" x14ac:dyDescent="0.2">
      <c r="A1479" s="20" t="s">
        <v>77</v>
      </c>
      <c r="B1479" s="21">
        <v>915</v>
      </c>
      <c r="C1479" s="92" t="s">
        <v>739</v>
      </c>
      <c r="D1479" s="22" t="s">
        <v>78</v>
      </c>
      <c r="E1479" s="21" t="s">
        <v>13</v>
      </c>
      <c r="F1479" s="294">
        <f>F1480+F1482</f>
        <v>25</v>
      </c>
      <c r="G1479" s="12"/>
      <c r="H1479" s="13"/>
    </row>
    <row r="1480" spans="1:8" ht="15.75" customHeight="1" x14ac:dyDescent="0.2">
      <c r="A1480" s="24" t="s">
        <v>47</v>
      </c>
      <c r="B1480" s="21">
        <v>915</v>
      </c>
      <c r="C1480" s="92" t="s">
        <v>739</v>
      </c>
      <c r="D1480" s="22" t="s">
        <v>79</v>
      </c>
      <c r="E1480" s="21"/>
      <c r="F1480" s="294">
        <f>F1481</f>
        <v>25</v>
      </c>
      <c r="G1480" s="12"/>
      <c r="H1480" s="13"/>
    </row>
    <row r="1481" spans="1:8" ht="31.5" customHeight="1" x14ac:dyDescent="0.2">
      <c r="A1481" s="20" t="s">
        <v>25</v>
      </c>
      <c r="B1481" s="21">
        <v>915</v>
      </c>
      <c r="C1481" s="92" t="s">
        <v>739</v>
      </c>
      <c r="D1481" s="22" t="s">
        <v>79</v>
      </c>
      <c r="E1481" s="21">
        <v>120</v>
      </c>
      <c r="F1481" s="294">
        <v>25</v>
      </c>
      <c r="G1481" s="17"/>
      <c r="H1481" s="13"/>
    </row>
    <row r="1482" spans="1:8" ht="27.75" customHeight="1" x14ac:dyDescent="0.2">
      <c r="A1482" s="24" t="s">
        <v>80</v>
      </c>
      <c r="B1482" s="21">
        <v>915</v>
      </c>
      <c r="C1482" s="92" t="s">
        <v>739</v>
      </c>
      <c r="D1482" s="22" t="s">
        <v>81</v>
      </c>
      <c r="E1482" s="21"/>
      <c r="F1482" s="294">
        <f>F1483</f>
        <v>0</v>
      </c>
      <c r="G1482" s="17"/>
      <c r="H1482" s="13"/>
    </row>
    <row r="1483" spans="1:8" ht="31.5" customHeight="1" x14ac:dyDescent="0.2">
      <c r="A1483" s="14" t="s">
        <v>43</v>
      </c>
      <c r="B1483" s="21">
        <v>915</v>
      </c>
      <c r="C1483" s="92" t="s">
        <v>739</v>
      </c>
      <c r="D1483" s="22" t="s">
        <v>81</v>
      </c>
      <c r="E1483" s="21">
        <v>240</v>
      </c>
      <c r="F1483" s="294">
        <f>25-25</f>
        <v>0</v>
      </c>
      <c r="G1483" s="17"/>
      <c r="H1483" s="13"/>
    </row>
    <row r="1484" spans="1:8" ht="31.5" customHeight="1" x14ac:dyDescent="0.2">
      <c r="A1484" s="91" t="s">
        <v>18</v>
      </c>
      <c r="B1484" s="92" t="s">
        <v>687</v>
      </c>
      <c r="C1484" s="92" t="s">
        <v>739</v>
      </c>
      <c r="D1484" s="22" t="s">
        <v>19</v>
      </c>
      <c r="E1484" s="92" t="s">
        <v>13</v>
      </c>
      <c r="F1484" s="294">
        <f>F1485</f>
        <v>117630.70000000001</v>
      </c>
      <c r="G1484" s="16"/>
      <c r="H1484" s="13"/>
    </row>
    <row r="1485" spans="1:8" ht="15.75" customHeight="1" x14ac:dyDescent="0.2">
      <c r="A1485" s="91" t="s">
        <v>62</v>
      </c>
      <c r="B1485" s="92" t="s">
        <v>687</v>
      </c>
      <c r="C1485" s="92" t="s">
        <v>739</v>
      </c>
      <c r="D1485" s="22" t="s">
        <v>63</v>
      </c>
      <c r="E1485" s="92"/>
      <c r="F1485" s="294">
        <f>F1486</f>
        <v>117630.70000000001</v>
      </c>
      <c r="G1485" s="12"/>
      <c r="H1485" s="13"/>
    </row>
    <row r="1486" spans="1:8" ht="15.75" customHeight="1" x14ac:dyDescent="0.2">
      <c r="A1486" s="91" t="s">
        <v>29</v>
      </c>
      <c r="B1486" s="92" t="s">
        <v>687</v>
      </c>
      <c r="C1486" s="92" t="s">
        <v>739</v>
      </c>
      <c r="D1486" s="22" t="s">
        <v>64</v>
      </c>
      <c r="E1486" s="92"/>
      <c r="F1486" s="294">
        <f>F1487</f>
        <v>117630.70000000001</v>
      </c>
      <c r="G1486" s="12"/>
      <c r="H1486" s="13"/>
    </row>
    <row r="1487" spans="1:8" ht="15.75" customHeight="1" x14ac:dyDescent="0.2">
      <c r="A1487" s="14" t="s">
        <v>773</v>
      </c>
      <c r="B1487" s="92" t="s">
        <v>687</v>
      </c>
      <c r="C1487" s="92" t="s">
        <v>739</v>
      </c>
      <c r="D1487" s="22" t="s">
        <v>65</v>
      </c>
      <c r="E1487" s="92"/>
      <c r="F1487" s="294">
        <f>F1488</f>
        <v>117630.70000000001</v>
      </c>
      <c r="G1487" s="12"/>
      <c r="H1487" s="13"/>
    </row>
    <row r="1488" spans="1:8" ht="31.5" customHeight="1" x14ac:dyDescent="0.2">
      <c r="A1488" s="91" t="s">
        <v>25</v>
      </c>
      <c r="B1488" s="92" t="s">
        <v>687</v>
      </c>
      <c r="C1488" s="92" t="s">
        <v>739</v>
      </c>
      <c r="D1488" s="22" t="s">
        <v>65</v>
      </c>
      <c r="E1488" s="92">
        <v>120</v>
      </c>
      <c r="F1488" s="294">
        <f>106380+1681.1+9569.6</f>
        <v>117630.70000000001</v>
      </c>
      <c r="G1488" s="18"/>
      <c r="H1488" s="373"/>
    </row>
    <row r="1489" spans="1:8" ht="15.75" customHeight="1" x14ac:dyDescent="0.2">
      <c r="A1489" s="91" t="s">
        <v>34</v>
      </c>
      <c r="B1489" s="92" t="s">
        <v>687</v>
      </c>
      <c r="C1489" s="92" t="s">
        <v>739</v>
      </c>
      <c r="D1489" s="22" t="s">
        <v>35</v>
      </c>
      <c r="E1489" s="92" t="s">
        <v>13</v>
      </c>
      <c r="F1489" s="294">
        <f>F1490</f>
        <v>84094.399999999994</v>
      </c>
      <c r="G1489" s="62"/>
      <c r="H1489" s="13"/>
    </row>
    <row r="1490" spans="1:8" ht="15.75" customHeight="1" x14ac:dyDescent="0.2">
      <c r="A1490" s="91" t="s">
        <v>36</v>
      </c>
      <c r="B1490" s="92" t="s">
        <v>687</v>
      </c>
      <c r="C1490" s="92" t="s">
        <v>739</v>
      </c>
      <c r="D1490" s="22" t="s">
        <v>37</v>
      </c>
      <c r="E1490" s="92"/>
      <c r="F1490" s="294">
        <f>F1491</f>
        <v>84094.399999999994</v>
      </c>
      <c r="G1490" s="16"/>
      <c r="H1490" s="13"/>
    </row>
    <row r="1491" spans="1:8" ht="31.5" customHeight="1" x14ac:dyDescent="0.2">
      <c r="A1491" s="91" t="s">
        <v>688</v>
      </c>
      <c r="B1491" s="92" t="s">
        <v>687</v>
      </c>
      <c r="C1491" s="92" t="s">
        <v>739</v>
      </c>
      <c r="D1491" s="22" t="s">
        <v>689</v>
      </c>
      <c r="E1491" s="92"/>
      <c r="F1491" s="294">
        <f>F1492</f>
        <v>84094.399999999994</v>
      </c>
      <c r="G1491" s="12"/>
      <c r="H1491" s="13"/>
    </row>
    <row r="1492" spans="1:8" ht="31.5" customHeight="1" x14ac:dyDescent="0.2">
      <c r="A1492" s="91" t="s">
        <v>40</v>
      </c>
      <c r="B1492" s="92" t="s">
        <v>687</v>
      </c>
      <c r="C1492" s="92" t="s">
        <v>739</v>
      </c>
      <c r="D1492" s="22" t="s">
        <v>690</v>
      </c>
      <c r="E1492" s="92"/>
      <c r="F1492" s="294">
        <f>SUM(F1493:F1495)</f>
        <v>84094.399999999994</v>
      </c>
      <c r="H1492" s="13"/>
    </row>
    <row r="1493" spans="1:8" ht="15.75" customHeight="1" x14ac:dyDescent="0.2">
      <c r="A1493" s="91" t="s">
        <v>42</v>
      </c>
      <c r="B1493" s="92" t="s">
        <v>687</v>
      </c>
      <c r="C1493" s="92" t="s">
        <v>739</v>
      </c>
      <c r="D1493" s="22" t="s">
        <v>690</v>
      </c>
      <c r="E1493" s="92">
        <v>110</v>
      </c>
      <c r="F1493" s="294">
        <f>81221.2+1411.2</f>
        <v>82632.399999999994</v>
      </c>
      <c r="G1493" s="62"/>
      <c r="H1493" s="203"/>
    </row>
    <row r="1494" spans="1:8" ht="31.5" customHeight="1" x14ac:dyDescent="0.2">
      <c r="A1494" s="14" t="s">
        <v>43</v>
      </c>
      <c r="B1494" s="92" t="s">
        <v>687</v>
      </c>
      <c r="C1494" s="92" t="s">
        <v>739</v>
      </c>
      <c r="D1494" s="22" t="s">
        <v>690</v>
      </c>
      <c r="E1494" s="92">
        <v>240</v>
      </c>
      <c r="F1494" s="294">
        <v>1322.7</v>
      </c>
      <c r="G1494" s="18"/>
      <c r="H1494" s="13"/>
    </row>
    <row r="1495" spans="1:8" ht="15.75" customHeight="1" x14ac:dyDescent="0.2">
      <c r="A1495" s="91" t="s">
        <v>44</v>
      </c>
      <c r="B1495" s="92" t="s">
        <v>687</v>
      </c>
      <c r="C1495" s="92" t="s">
        <v>739</v>
      </c>
      <c r="D1495" s="22" t="s">
        <v>690</v>
      </c>
      <c r="E1495" s="92">
        <v>850</v>
      </c>
      <c r="F1495" s="294">
        <v>139.30000000000001</v>
      </c>
      <c r="G1495" s="17"/>
      <c r="H1495" s="13"/>
    </row>
    <row r="1496" spans="1:8" ht="15.75" customHeight="1" x14ac:dyDescent="0.2">
      <c r="A1496" s="34" t="s">
        <v>333</v>
      </c>
      <c r="B1496" s="100" t="s">
        <v>687</v>
      </c>
      <c r="C1496" s="35" t="s">
        <v>334</v>
      </c>
      <c r="D1496" s="36" t="s">
        <v>13</v>
      </c>
      <c r="E1496" s="35" t="s">
        <v>13</v>
      </c>
      <c r="F1496" s="297">
        <f>F1497</f>
        <v>300.60000000000002</v>
      </c>
      <c r="G1496" s="17"/>
      <c r="H1496" s="13"/>
    </row>
    <row r="1497" spans="1:8" ht="15.75" customHeight="1" x14ac:dyDescent="0.2">
      <c r="A1497" s="20" t="s">
        <v>335</v>
      </c>
      <c r="B1497" s="92" t="s">
        <v>687</v>
      </c>
      <c r="C1497" s="21" t="s">
        <v>336</v>
      </c>
      <c r="D1497" s="22" t="s">
        <v>13</v>
      </c>
      <c r="E1497" s="21" t="s">
        <v>13</v>
      </c>
      <c r="F1497" s="294">
        <f>F1498</f>
        <v>300.60000000000002</v>
      </c>
      <c r="G1497" s="17"/>
      <c r="H1497" s="13"/>
    </row>
    <row r="1498" spans="1:8" ht="15.75" customHeight="1" x14ac:dyDescent="0.2">
      <c r="A1498" s="34" t="s">
        <v>337</v>
      </c>
      <c r="B1498" s="92" t="s">
        <v>687</v>
      </c>
      <c r="C1498" s="21" t="s">
        <v>336</v>
      </c>
      <c r="D1498" s="22" t="s">
        <v>338</v>
      </c>
      <c r="E1498" s="21" t="s">
        <v>13</v>
      </c>
      <c r="F1498" s="294">
        <f>F1499</f>
        <v>300.60000000000002</v>
      </c>
      <c r="G1498" s="17"/>
      <c r="H1498" s="13"/>
    </row>
    <row r="1499" spans="1:8" ht="15.75" customHeight="1" x14ac:dyDescent="0.2">
      <c r="A1499" s="20" t="s">
        <v>339</v>
      </c>
      <c r="B1499" s="92" t="s">
        <v>687</v>
      </c>
      <c r="C1499" s="21" t="s">
        <v>336</v>
      </c>
      <c r="D1499" s="22" t="s">
        <v>340</v>
      </c>
      <c r="E1499" s="21" t="s">
        <v>13</v>
      </c>
      <c r="F1499" s="294">
        <f>SUM(F1500)</f>
        <v>300.60000000000002</v>
      </c>
      <c r="G1499" s="17"/>
      <c r="H1499" s="13"/>
    </row>
    <row r="1500" spans="1:8" ht="15.75" customHeight="1" x14ac:dyDescent="0.2">
      <c r="A1500" s="20" t="s">
        <v>82</v>
      </c>
      <c r="B1500" s="92" t="s">
        <v>687</v>
      </c>
      <c r="C1500" s="21" t="s">
        <v>336</v>
      </c>
      <c r="D1500" s="22" t="s">
        <v>341</v>
      </c>
      <c r="E1500" s="21"/>
      <c r="F1500" s="294">
        <f>F1501</f>
        <v>300.60000000000002</v>
      </c>
      <c r="G1500" s="17"/>
      <c r="H1500" s="13"/>
    </row>
    <row r="1501" spans="1:8" ht="15.75" customHeight="1" x14ac:dyDescent="0.2">
      <c r="A1501" s="14" t="s">
        <v>43</v>
      </c>
      <c r="B1501" s="92" t="s">
        <v>687</v>
      </c>
      <c r="C1501" s="21" t="s">
        <v>336</v>
      </c>
      <c r="D1501" s="22" t="s">
        <v>341</v>
      </c>
      <c r="E1501" s="21">
        <v>240</v>
      </c>
      <c r="F1501" s="294">
        <f>30+270.6</f>
        <v>300.60000000000002</v>
      </c>
      <c r="G1501" s="17"/>
      <c r="H1501" s="13"/>
    </row>
    <row r="1502" spans="1:8" ht="18.75" customHeight="1" x14ac:dyDescent="0.2">
      <c r="A1502" s="34" t="s">
        <v>345</v>
      </c>
      <c r="B1502" s="35">
        <v>915</v>
      </c>
      <c r="C1502" s="35" t="s">
        <v>346</v>
      </c>
      <c r="D1502" s="36" t="s">
        <v>13</v>
      </c>
      <c r="E1502" s="35" t="s">
        <v>13</v>
      </c>
      <c r="F1502" s="297">
        <f>F1503</f>
        <v>25</v>
      </c>
      <c r="G1502" s="23"/>
      <c r="H1502" s="13"/>
    </row>
    <row r="1503" spans="1:8" ht="15.75" customHeight="1" x14ac:dyDescent="0.2">
      <c r="A1503" s="20" t="s">
        <v>1081</v>
      </c>
      <c r="B1503" s="21">
        <v>915</v>
      </c>
      <c r="C1503" s="22" t="s">
        <v>1080</v>
      </c>
      <c r="D1503" s="22"/>
      <c r="E1503" s="21"/>
      <c r="F1503" s="294">
        <f>F1504</f>
        <v>25</v>
      </c>
      <c r="G1503" s="12"/>
      <c r="H1503" s="13"/>
    </row>
    <row r="1504" spans="1:8" ht="15.75" customHeight="1" x14ac:dyDescent="0.2">
      <c r="A1504" s="20" t="s">
        <v>75</v>
      </c>
      <c r="B1504" s="21">
        <v>915</v>
      </c>
      <c r="C1504" s="22" t="s">
        <v>1080</v>
      </c>
      <c r="D1504" s="22" t="s">
        <v>76</v>
      </c>
      <c r="E1504" s="21" t="s">
        <v>13</v>
      </c>
      <c r="F1504" s="294">
        <f>F1505</f>
        <v>25</v>
      </c>
      <c r="G1504" s="12"/>
      <c r="H1504" s="13"/>
    </row>
    <row r="1505" spans="1:9" ht="15.75" customHeight="1" x14ac:dyDescent="0.2">
      <c r="A1505" s="20" t="s">
        <v>77</v>
      </c>
      <c r="B1505" s="21">
        <v>915</v>
      </c>
      <c r="C1505" s="22" t="s">
        <v>1080</v>
      </c>
      <c r="D1505" s="22" t="s">
        <v>78</v>
      </c>
      <c r="E1505" s="21" t="s">
        <v>13</v>
      </c>
      <c r="F1505" s="294">
        <f>F1506</f>
        <v>25</v>
      </c>
      <c r="G1505" s="23"/>
      <c r="H1505" s="13"/>
    </row>
    <row r="1506" spans="1:9" ht="15.75" customHeight="1" x14ac:dyDescent="0.2">
      <c r="A1506" s="24" t="s">
        <v>80</v>
      </c>
      <c r="B1506" s="21">
        <v>915</v>
      </c>
      <c r="C1506" s="22" t="s">
        <v>1080</v>
      </c>
      <c r="D1506" s="22" t="s">
        <v>81</v>
      </c>
      <c r="E1506" s="21"/>
      <c r="F1506" s="294">
        <f>F1507</f>
        <v>25</v>
      </c>
      <c r="G1506" s="17"/>
      <c r="H1506" s="13"/>
    </row>
    <row r="1507" spans="1:9" ht="15.75" customHeight="1" x14ac:dyDescent="0.2">
      <c r="A1507" s="14" t="s">
        <v>43</v>
      </c>
      <c r="B1507" s="21">
        <v>915</v>
      </c>
      <c r="C1507" s="22" t="s">
        <v>1080</v>
      </c>
      <c r="D1507" s="22" t="s">
        <v>81</v>
      </c>
      <c r="E1507" s="21">
        <v>240</v>
      </c>
      <c r="F1507" s="294">
        <f>25</f>
        <v>25</v>
      </c>
      <c r="G1507" s="17"/>
      <c r="H1507" s="13"/>
    </row>
    <row r="1508" spans="1:9" x14ac:dyDescent="0.2">
      <c r="A1508" s="99" t="s">
        <v>396</v>
      </c>
      <c r="B1508" s="100" t="s">
        <v>687</v>
      </c>
      <c r="C1508" s="100" t="s">
        <v>397</v>
      </c>
      <c r="D1508" s="36" t="s">
        <v>13</v>
      </c>
      <c r="E1508" s="100" t="s">
        <v>13</v>
      </c>
      <c r="F1508" s="297">
        <f>F1509</f>
        <v>342</v>
      </c>
      <c r="G1508" s="23"/>
      <c r="H1508" s="13"/>
    </row>
    <row r="1509" spans="1:9" x14ac:dyDescent="0.2">
      <c r="A1509" s="10" t="s">
        <v>404</v>
      </c>
      <c r="B1509" s="100" t="s">
        <v>687</v>
      </c>
      <c r="C1509" s="11" t="s">
        <v>405</v>
      </c>
      <c r="D1509" s="22"/>
      <c r="E1509" s="92"/>
      <c r="F1509" s="297">
        <f>F1510</f>
        <v>342</v>
      </c>
      <c r="G1509" s="23"/>
      <c r="H1509" s="13"/>
    </row>
    <row r="1510" spans="1:9" x14ac:dyDescent="0.2">
      <c r="A1510" s="14" t="s">
        <v>45</v>
      </c>
      <c r="B1510" s="92" t="s">
        <v>687</v>
      </c>
      <c r="C1510" s="92">
        <v>1003</v>
      </c>
      <c r="D1510" s="8" t="s">
        <v>46</v>
      </c>
      <c r="E1510" s="7" t="s">
        <v>13</v>
      </c>
      <c r="F1510" s="294">
        <f>F1511</f>
        <v>342</v>
      </c>
      <c r="G1510" s="23"/>
      <c r="H1510" s="13"/>
    </row>
    <row r="1511" spans="1:9" ht="31.5" customHeight="1" x14ac:dyDescent="0.2">
      <c r="A1511" s="97" t="s">
        <v>845</v>
      </c>
      <c r="B1511" s="92" t="s">
        <v>687</v>
      </c>
      <c r="C1511" s="92">
        <v>1003</v>
      </c>
      <c r="D1511" s="8" t="s">
        <v>864</v>
      </c>
      <c r="E1511" s="95"/>
      <c r="F1511" s="294">
        <f>SUM(F1512:F1512)</f>
        <v>342</v>
      </c>
      <c r="G1511" s="23"/>
      <c r="H1511" s="13"/>
    </row>
    <row r="1512" spans="1:9" x14ac:dyDescent="0.2">
      <c r="A1512" s="14" t="s">
        <v>403</v>
      </c>
      <c r="B1512" s="92" t="s">
        <v>687</v>
      </c>
      <c r="C1512" s="92">
        <v>1003</v>
      </c>
      <c r="D1512" s="8" t="s">
        <v>864</v>
      </c>
      <c r="E1512" s="95">
        <v>310</v>
      </c>
      <c r="F1512" s="294">
        <v>342</v>
      </c>
      <c r="G1512" s="62"/>
      <c r="H1512" s="13"/>
    </row>
    <row r="1513" spans="1:9" ht="31.5" customHeight="1" x14ac:dyDescent="0.2">
      <c r="A1513" s="102" t="s">
        <v>742</v>
      </c>
      <c r="B1513" s="103" t="s">
        <v>743</v>
      </c>
      <c r="C1513" s="103" t="s">
        <v>13</v>
      </c>
      <c r="D1513" s="246" t="s">
        <v>13</v>
      </c>
      <c r="E1513" s="103" t="s">
        <v>13</v>
      </c>
      <c r="F1513" s="307">
        <f>F1514+F1546+F1586+F1592+F1521</f>
        <v>316172.2</v>
      </c>
      <c r="G1513" s="51"/>
      <c r="H1513" s="83"/>
      <c r="I1513" s="315"/>
    </row>
    <row r="1514" spans="1:9" ht="15.75" customHeight="1" x14ac:dyDescent="0.2">
      <c r="A1514" s="99" t="s">
        <v>14</v>
      </c>
      <c r="B1514" s="100" t="s">
        <v>743</v>
      </c>
      <c r="C1514" s="100" t="s">
        <v>15</v>
      </c>
      <c r="D1514" s="36" t="s">
        <v>13</v>
      </c>
      <c r="E1514" s="100" t="s">
        <v>13</v>
      </c>
      <c r="F1514" s="297">
        <f>F1515</f>
        <v>1460.3999999999999</v>
      </c>
      <c r="G1514" s="12"/>
      <c r="H1514" s="13"/>
    </row>
    <row r="1515" spans="1:9" ht="15.75" customHeight="1" x14ac:dyDescent="0.2">
      <c r="A1515" s="91" t="s">
        <v>32</v>
      </c>
      <c r="B1515" s="92" t="s">
        <v>743</v>
      </c>
      <c r="C1515" s="92" t="s">
        <v>33</v>
      </c>
      <c r="D1515" s="22" t="s">
        <v>13</v>
      </c>
      <c r="E1515" s="92" t="s">
        <v>13</v>
      </c>
      <c r="F1515" s="294">
        <f>F1516</f>
        <v>1460.3999999999999</v>
      </c>
      <c r="G1515" s="12"/>
      <c r="H1515" s="13"/>
    </row>
    <row r="1516" spans="1:9" ht="15.75" customHeight="1" x14ac:dyDescent="0.2">
      <c r="A1516" s="91" t="s">
        <v>34</v>
      </c>
      <c r="B1516" s="92" t="s">
        <v>743</v>
      </c>
      <c r="C1516" s="92" t="s">
        <v>33</v>
      </c>
      <c r="D1516" s="22" t="s">
        <v>35</v>
      </c>
      <c r="E1516" s="92" t="s">
        <v>13</v>
      </c>
      <c r="F1516" s="294">
        <f>F1517</f>
        <v>1460.3999999999999</v>
      </c>
      <c r="G1516" s="12"/>
      <c r="H1516" s="13"/>
    </row>
    <row r="1517" spans="1:9" ht="15.75" customHeight="1" x14ac:dyDescent="0.2">
      <c r="A1517" s="91" t="s">
        <v>45</v>
      </c>
      <c r="B1517" s="92" t="s">
        <v>743</v>
      </c>
      <c r="C1517" s="92" t="s">
        <v>33</v>
      </c>
      <c r="D1517" s="22" t="s">
        <v>46</v>
      </c>
      <c r="E1517" s="92" t="s">
        <v>13</v>
      </c>
      <c r="F1517" s="294">
        <f>F1518</f>
        <v>1460.3999999999999</v>
      </c>
      <c r="G1517" s="12"/>
      <c r="H1517" s="13"/>
    </row>
    <row r="1518" spans="1:9" ht="15.75" customHeight="1" x14ac:dyDescent="0.2">
      <c r="A1518" s="91" t="s">
        <v>47</v>
      </c>
      <c r="B1518" s="92" t="s">
        <v>743</v>
      </c>
      <c r="C1518" s="92" t="s">
        <v>33</v>
      </c>
      <c r="D1518" s="22" t="s">
        <v>48</v>
      </c>
      <c r="E1518" s="92"/>
      <c r="F1518" s="294">
        <f>F1519+F1520</f>
        <v>1460.3999999999999</v>
      </c>
      <c r="G1518" s="12"/>
      <c r="H1518" s="13"/>
    </row>
    <row r="1519" spans="1:9" ht="31.5" customHeight="1" x14ac:dyDescent="0.2">
      <c r="A1519" s="14" t="s">
        <v>43</v>
      </c>
      <c r="B1519" s="92" t="s">
        <v>743</v>
      </c>
      <c r="C1519" s="92" t="s">
        <v>33</v>
      </c>
      <c r="D1519" s="22" t="s">
        <v>48</v>
      </c>
      <c r="E1519" s="92">
        <v>240</v>
      </c>
      <c r="F1519" s="294">
        <v>1430.8</v>
      </c>
      <c r="G1519" s="18"/>
      <c r="H1519" s="85"/>
    </row>
    <row r="1520" spans="1:9" ht="15.75" customHeight="1" x14ac:dyDescent="0.2">
      <c r="A1520" s="91" t="s">
        <v>44</v>
      </c>
      <c r="B1520" s="92" t="s">
        <v>743</v>
      </c>
      <c r="C1520" s="92" t="s">
        <v>33</v>
      </c>
      <c r="D1520" s="22" t="s">
        <v>48</v>
      </c>
      <c r="E1520" s="92">
        <v>850</v>
      </c>
      <c r="F1520" s="294">
        <v>29.6</v>
      </c>
      <c r="G1520" s="16"/>
      <c r="H1520" s="13"/>
    </row>
    <row r="1521" spans="1:8" s="119" customFormat="1" ht="15.75" customHeight="1" x14ac:dyDescent="0.2">
      <c r="A1521" s="99" t="s">
        <v>189</v>
      </c>
      <c r="B1521" s="100">
        <v>918</v>
      </c>
      <c r="C1521" s="101" t="s">
        <v>190</v>
      </c>
      <c r="D1521" s="36"/>
      <c r="E1521" s="100"/>
      <c r="F1521" s="297">
        <f>F1527+F1522</f>
        <v>9592</v>
      </c>
      <c r="G1521" s="16"/>
      <c r="H1521" s="118"/>
    </row>
    <row r="1522" spans="1:8" s="119" customFormat="1" ht="15.75" customHeight="1" x14ac:dyDescent="0.2">
      <c r="A1522" s="14" t="s">
        <v>191</v>
      </c>
      <c r="B1522" s="7">
        <v>918</v>
      </c>
      <c r="C1522" s="7" t="s">
        <v>192</v>
      </c>
      <c r="D1522" s="316" t="s">
        <v>13</v>
      </c>
      <c r="E1522" s="156" t="s">
        <v>13</v>
      </c>
      <c r="F1522" s="294">
        <f>F1523</f>
        <v>592</v>
      </c>
      <c r="G1522" s="16"/>
      <c r="H1522" s="118"/>
    </row>
    <row r="1523" spans="1:8" s="119" customFormat="1" ht="47.25" customHeight="1" x14ac:dyDescent="0.2">
      <c r="A1523" s="14" t="s">
        <v>193</v>
      </c>
      <c r="B1523" s="7">
        <v>918</v>
      </c>
      <c r="C1523" s="7" t="s">
        <v>192</v>
      </c>
      <c r="D1523" s="8" t="s">
        <v>194</v>
      </c>
      <c r="E1523" s="7" t="s">
        <v>13</v>
      </c>
      <c r="F1523" s="294">
        <f>F1524</f>
        <v>592</v>
      </c>
      <c r="G1523" s="16"/>
      <c r="H1523" s="118"/>
    </row>
    <row r="1524" spans="1:8" s="119" customFormat="1" ht="15.75" customHeight="1" x14ac:dyDescent="0.2">
      <c r="A1524" s="14" t="s">
        <v>195</v>
      </c>
      <c r="B1524" s="7">
        <v>918</v>
      </c>
      <c r="C1524" s="7" t="s">
        <v>192</v>
      </c>
      <c r="D1524" s="8" t="s">
        <v>196</v>
      </c>
      <c r="E1524" s="7" t="s">
        <v>13</v>
      </c>
      <c r="F1524" s="294">
        <f>F1525</f>
        <v>592</v>
      </c>
      <c r="G1524" s="16"/>
      <c r="H1524" s="118"/>
    </row>
    <row r="1525" spans="1:8" s="119" customFormat="1" ht="31.5" customHeight="1" x14ac:dyDescent="0.2">
      <c r="A1525" s="14" t="s">
        <v>40</v>
      </c>
      <c r="B1525" s="7">
        <v>918</v>
      </c>
      <c r="C1525" s="7" t="s">
        <v>192</v>
      </c>
      <c r="D1525" s="8" t="s">
        <v>197</v>
      </c>
      <c r="E1525" s="7"/>
      <c r="F1525" s="294">
        <f>F1526</f>
        <v>592</v>
      </c>
      <c r="G1525" s="16"/>
      <c r="H1525" s="118"/>
    </row>
    <row r="1526" spans="1:8" s="119" customFormat="1" x14ac:dyDescent="0.2">
      <c r="A1526" s="20" t="s">
        <v>998</v>
      </c>
      <c r="B1526" s="7">
        <v>918</v>
      </c>
      <c r="C1526" s="7" t="s">
        <v>192</v>
      </c>
      <c r="D1526" s="8" t="s">
        <v>197</v>
      </c>
      <c r="E1526" s="303">
        <v>610</v>
      </c>
      <c r="F1526" s="294">
        <v>592</v>
      </c>
      <c r="G1526" s="16"/>
      <c r="H1526" s="118"/>
    </row>
    <row r="1527" spans="1:8" s="119" customFormat="1" ht="15.75" customHeight="1" x14ac:dyDescent="0.2">
      <c r="A1527" s="91" t="s">
        <v>253</v>
      </c>
      <c r="B1527" s="92">
        <v>918</v>
      </c>
      <c r="C1527" s="93" t="s">
        <v>254</v>
      </c>
      <c r="D1527" s="36"/>
      <c r="E1527" s="100"/>
      <c r="F1527" s="294">
        <f>F1528</f>
        <v>9000</v>
      </c>
      <c r="G1527" s="16"/>
      <c r="H1527" s="118"/>
    </row>
    <row r="1528" spans="1:8" s="119" customFormat="1" ht="36.75" customHeight="1" x14ac:dyDescent="0.2">
      <c r="A1528" s="20" t="s">
        <v>882</v>
      </c>
      <c r="B1528" s="92">
        <v>918</v>
      </c>
      <c r="C1528" s="22" t="s">
        <v>254</v>
      </c>
      <c r="D1528" s="22" t="s">
        <v>883</v>
      </c>
      <c r="E1528" s="21"/>
      <c r="F1528" s="294">
        <f>F1529+F1536+F1543</f>
        <v>9000</v>
      </c>
      <c r="G1528" s="17"/>
      <c r="H1528" s="118"/>
    </row>
    <row r="1529" spans="1:8" s="119" customFormat="1" ht="18.75" customHeight="1" x14ac:dyDescent="0.2">
      <c r="A1529" s="20" t="s">
        <v>881</v>
      </c>
      <c r="B1529" s="92">
        <v>918</v>
      </c>
      <c r="C1529" s="22" t="s">
        <v>254</v>
      </c>
      <c r="D1529" s="22" t="s">
        <v>880</v>
      </c>
      <c r="E1529" s="21"/>
      <c r="F1529" s="294">
        <f>F1530+F1532+F1534</f>
        <v>7820</v>
      </c>
      <c r="G1529" s="17"/>
      <c r="H1529" s="118"/>
    </row>
    <row r="1530" spans="1:8" s="119" customFormat="1" ht="31.5" customHeight="1" x14ac:dyDescent="0.2">
      <c r="A1530" s="20" t="s">
        <v>82</v>
      </c>
      <c r="B1530" s="92">
        <v>918</v>
      </c>
      <c r="C1530" s="22" t="s">
        <v>254</v>
      </c>
      <c r="D1530" s="22" t="s">
        <v>879</v>
      </c>
      <c r="E1530" s="21"/>
      <c r="F1530" s="294">
        <f>F1531</f>
        <v>749.3</v>
      </c>
      <c r="G1530" s="17"/>
      <c r="H1530" s="118"/>
    </row>
    <row r="1531" spans="1:8" s="119" customFormat="1" ht="31.5" customHeight="1" x14ac:dyDescent="0.2">
      <c r="A1531" s="14" t="s">
        <v>43</v>
      </c>
      <c r="B1531" s="92">
        <v>918</v>
      </c>
      <c r="C1531" s="22" t="s">
        <v>254</v>
      </c>
      <c r="D1531" s="22" t="s">
        <v>879</v>
      </c>
      <c r="E1531" s="21">
        <v>240</v>
      </c>
      <c r="F1531" s="294">
        <f>820-70.7</f>
        <v>749.3</v>
      </c>
      <c r="G1531" s="348"/>
      <c r="H1531" s="349"/>
    </row>
    <row r="1532" spans="1:8" s="119" customFormat="1" ht="31.5" customHeight="1" x14ac:dyDescent="0.2">
      <c r="A1532" s="14" t="s">
        <v>1065</v>
      </c>
      <c r="B1532" s="92">
        <v>918</v>
      </c>
      <c r="C1532" s="22" t="s">
        <v>254</v>
      </c>
      <c r="D1532" s="22" t="s">
        <v>1066</v>
      </c>
      <c r="E1532" s="21"/>
      <c r="F1532" s="294">
        <f>F1533</f>
        <v>7000</v>
      </c>
      <c r="G1532" s="196"/>
      <c r="H1532" s="118"/>
    </row>
    <row r="1533" spans="1:8" s="119" customFormat="1" ht="31.5" customHeight="1" x14ac:dyDescent="0.2">
      <c r="A1533" s="14" t="s">
        <v>43</v>
      </c>
      <c r="B1533" s="92">
        <v>918</v>
      </c>
      <c r="C1533" s="22" t="s">
        <v>254</v>
      </c>
      <c r="D1533" s="22" t="s">
        <v>1066</v>
      </c>
      <c r="E1533" s="21">
        <v>240</v>
      </c>
      <c r="F1533" s="294">
        <v>7000</v>
      </c>
      <c r="G1533" s="196"/>
      <c r="H1533" s="118"/>
    </row>
    <row r="1534" spans="1:8" s="119" customFormat="1" ht="31.5" customHeight="1" x14ac:dyDescent="0.2">
      <c r="A1534" s="14" t="s">
        <v>1105</v>
      </c>
      <c r="B1534" s="92">
        <v>918</v>
      </c>
      <c r="C1534" s="22" t="s">
        <v>254</v>
      </c>
      <c r="D1534" s="22" t="s">
        <v>1106</v>
      </c>
      <c r="E1534" s="21"/>
      <c r="F1534" s="294">
        <f>F1535</f>
        <v>70.7</v>
      </c>
      <c r="G1534" s="196"/>
      <c r="H1534" s="118"/>
    </row>
    <row r="1535" spans="1:8" s="119" customFormat="1" ht="31.5" customHeight="1" x14ac:dyDescent="0.2">
      <c r="A1535" s="14" t="s">
        <v>43</v>
      </c>
      <c r="B1535" s="92">
        <v>918</v>
      </c>
      <c r="C1535" s="22" t="s">
        <v>254</v>
      </c>
      <c r="D1535" s="22" t="s">
        <v>1106</v>
      </c>
      <c r="E1535" s="21">
        <v>240</v>
      </c>
      <c r="F1535" s="294">
        <v>70.7</v>
      </c>
      <c r="G1535" s="348"/>
      <c r="H1535" s="349"/>
    </row>
    <row r="1536" spans="1:8" s="119" customFormat="1" ht="35.25" customHeight="1" x14ac:dyDescent="0.2">
      <c r="A1536" s="14" t="s">
        <v>888</v>
      </c>
      <c r="B1536" s="92">
        <v>918</v>
      </c>
      <c r="C1536" s="22" t="s">
        <v>254</v>
      </c>
      <c r="D1536" s="22" t="s">
        <v>887</v>
      </c>
      <c r="E1536" s="21"/>
      <c r="F1536" s="294">
        <f>F1537+F1539+F1541</f>
        <v>585.5</v>
      </c>
      <c r="G1536" s="17"/>
      <c r="H1536" s="118"/>
    </row>
    <row r="1537" spans="1:8" s="119" customFormat="1" ht="35.25" customHeight="1" x14ac:dyDescent="0.2">
      <c r="A1537" s="20" t="s">
        <v>82</v>
      </c>
      <c r="B1537" s="92">
        <v>918</v>
      </c>
      <c r="C1537" s="22" t="s">
        <v>254</v>
      </c>
      <c r="D1537" s="22" t="s">
        <v>885</v>
      </c>
      <c r="E1537" s="21"/>
      <c r="F1537" s="294">
        <f>F1538</f>
        <v>35.5</v>
      </c>
      <c r="G1537" s="17"/>
      <c r="H1537" s="118"/>
    </row>
    <row r="1538" spans="1:8" s="119" customFormat="1" ht="31.5" customHeight="1" x14ac:dyDescent="0.2">
      <c r="A1538" s="14" t="s">
        <v>43</v>
      </c>
      <c r="B1538" s="92">
        <v>918</v>
      </c>
      <c r="C1538" s="22" t="s">
        <v>254</v>
      </c>
      <c r="D1538" s="22" t="s">
        <v>885</v>
      </c>
      <c r="E1538" s="21">
        <v>240</v>
      </c>
      <c r="F1538" s="294">
        <v>35.5</v>
      </c>
      <c r="G1538" s="17"/>
      <c r="H1538" s="118"/>
    </row>
    <row r="1539" spans="1:8" s="119" customFormat="1" ht="36" customHeight="1" x14ac:dyDescent="0.2">
      <c r="A1539" s="24" t="s">
        <v>968</v>
      </c>
      <c r="B1539" s="92">
        <v>918</v>
      </c>
      <c r="C1539" s="22" t="s">
        <v>254</v>
      </c>
      <c r="D1539" s="8" t="s">
        <v>967</v>
      </c>
      <c r="E1539" s="7"/>
      <c r="F1539" s="294">
        <f>F1540</f>
        <v>350</v>
      </c>
      <c r="G1539" s="309"/>
      <c r="H1539" s="118"/>
    </row>
    <row r="1540" spans="1:8" s="119" customFormat="1" ht="48" customHeight="1" x14ac:dyDescent="0.2">
      <c r="A1540" s="14" t="s">
        <v>206</v>
      </c>
      <c r="B1540" s="92">
        <v>918</v>
      </c>
      <c r="C1540" s="22" t="s">
        <v>254</v>
      </c>
      <c r="D1540" s="8" t="s">
        <v>967</v>
      </c>
      <c r="E1540" s="7">
        <v>810</v>
      </c>
      <c r="F1540" s="294">
        <v>350</v>
      </c>
      <c r="G1540" s="17"/>
      <c r="H1540" s="118"/>
    </row>
    <row r="1541" spans="1:8" s="119" customFormat="1" x14ac:dyDescent="0.2">
      <c r="A1541" s="28" t="s">
        <v>922</v>
      </c>
      <c r="B1541" s="95">
        <v>918</v>
      </c>
      <c r="C1541" s="96" t="s">
        <v>254</v>
      </c>
      <c r="D1541" s="8" t="s">
        <v>1004</v>
      </c>
      <c r="E1541" s="95"/>
      <c r="F1541" s="294">
        <f>F1542</f>
        <v>200</v>
      </c>
      <c r="G1541" s="17"/>
      <c r="H1541" s="118"/>
    </row>
    <row r="1542" spans="1:8" s="119" customFormat="1" x14ac:dyDescent="0.2">
      <c r="A1542" s="28" t="s">
        <v>119</v>
      </c>
      <c r="B1542" s="95">
        <v>918</v>
      </c>
      <c r="C1542" s="96" t="s">
        <v>254</v>
      </c>
      <c r="D1542" s="8" t="s">
        <v>1004</v>
      </c>
      <c r="E1542" s="95">
        <v>350</v>
      </c>
      <c r="F1542" s="294">
        <v>200</v>
      </c>
      <c r="G1542" s="17"/>
      <c r="H1542" s="118"/>
    </row>
    <row r="1543" spans="1:8" s="119" customFormat="1" ht="31.5" customHeight="1" x14ac:dyDescent="0.2">
      <c r="A1543" s="14" t="s">
        <v>889</v>
      </c>
      <c r="B1543" s="92">
        <v>918</v>
      </c>
      <c r="C1543" s="22" t="s">
        <v>254</v>
      </c>
      <c r="D1543" s="22" t="s">
        <v>886</v>
      </c>
      <c r="E1543" s="21"/>
      <c r="F1543" s="294">
        <f>F1544</f>
        <v>594.5</v>
      </c>
      <c r="G1543" s="17"/>
      <c r="H1543" s="118"/>
    </row>
    <row r="1544" spans="1:8" s="119" customFormat="1" ht="31.5" customHeight="1" x14ac:dyDescent="0.2">
      <c r="A1544" s="20" t="s">
        <v>82</v>
      </c>
      <c r="B1544" s="92">
        <v>918</v>
      </c>
      <c r="C1544" s="22" t="s">
        <v>254</v>
      </c>
      <c r="D1544" s="22" t="s">
        <v>884</v>
      </c>
      <c r="E1544" s="21"/>
      <c r="F1544" s="294">
        <f>F1545</f>
        <v>594.5</v>
      </c>
      <c r="G1544" s="17"/>
      <c r="H1544" s="118"/>
    </row>
    <row r="1545" spans="1:8" s="119" customFormat="1" ht="31.5" customHeight="1" x14ac:dyDescent="0.2">
      <c r="A1545" s="14" t="s">
        <v>43</v>
      </c>
      <c r="B1545" s="92">
        <v>918</v>
      </c>
      <c r="C1545" s="22" t="s">
        <v>254</v>
      </c>
      <c r="D1545" s="22" t="s">
        <v>884</v>
      </c>
      <c r="E1545" s="21">
        <v>240</v>
      </c>
      <c r="F1545" s="294">
        <v>594.5</v>
      </c>
      <c r="G1545" s="196"/>
      <c r="H1545" s="118"/>
    </row>
    <row r="1546" spans="1:8" ht="15.75" customHeight="1" x14ac:dyDescent="0.2">
      <c r="A1546" s="99" t="s">
        <v>345</v>
      </c>
      <c r="B1546" s="100" t="s">
        <v>743</v>
      </c>
      <c r="C1546" s="100" t="s">
        <v>346</v>
      </c>
      <c r="D1546" s="36" t="s">
        <v>13</v>
      </c>
      <c r="E1546" s="100" t="s">
        <v>13</v>
      </c>
      <c r="F1546" s="297">
        <f>F1547+F1564+F1559</f>
        <v>189949.5</v>
      </c>
      <c r="G1546" s="51"/>
      <c r="H1546" s="13"/>
    </row>
    <row r="1547" spans="1:8" ht="15.75" customHeight="1" x14ac:dyDescent="0.2">
      <c r="A1547" s="91" t="s">
        <v>792</v>
      </c>
      <c r="B1547" s="92" t="s">
        <v>743</v>
      </c>
      <c r="C1547" s="93" t="s">
        <v>793</v>
      </c>
      <c r="D1547" s="22" t="s">
        <v>13</v>
      </c>
      <c r="E1547" s="92" t="s">
        <v>13</v>
      </c>
      <c r="F1547" s="294">
        <f>F1548</f>
        <v>156065.79999999999</v>
      </c>
      <c r="G1547" s="12"/>
      <c r="H1547" s="13"/>
    </row>
    <row r="1548" spans="1:8" ht="31.5" customHeight="1" x14ac:dyDescent="0.2">
      <c r="A1548" s="91" t="s">
        <v>323</v>
      </c>
      <c r="B1548" s="92" t="s">
        <v>743</v>
      </c>
      <c r="C1548" s="93" t="s">
        <v>793</v>
      </c>
      <c r="D1548" s="22" t="s">
        <v>324</v>
      </c>
      <c r="E1548" s="92" t="s">
        <v>13</v>
      </c>
      <c r="F1548" s="294">
        <f>F1549+F1555</f>
        <v>156065.79999999999</v>
      </c>
      <c r="G1548" s="12"/>
      <c r="H1548" s="13"/>
    </row>
    <row r="1549" spans="1:8" ht="15.75" customHeight="1" x14ac:dyDescent="0.2">
      <c r="A1549" s="91" t="s">
        <v>635</v>
      </c>
      <c r="B1549" s="92" t="s">
        <v>743</v>
      </c>
      <c r="C1549" s="93" t="s">
        <v>793</v>
      </c>
      <c r="D1549" s="22" t="s">
        <v>636</v>
      </c>
      <c r="E1549" s="92" t="s">
        <v>13</v>
      </c>
      <c r="F1549" s="294">
        <f>F1550+F1553</f>
        <v>153502</v>
      </c>
      <c r="G1549" s="12"/>
      <c r="H1549" s="13"/>
    </row>
    <row r="1550" spans="1:8" ht="31.5" customHeight="1" x14ac:dyDescent="0.2">
      <c r="A1550" s="91" t="s">
        <v>40</v>
      </c>
      <c r="B1550" s="92" t="s">
        <v>743</v>
      </c>
      <c r="C1550" s="93" t="s">
        <v>793</v>
      </c>
      <c r="D1550" s="22" t="s">
        <v>744</v>
      </c>
      <c r="E1550" s="92"/>
      <c r="F1550" s="294">
        <f>F1551+F1552</f>
        <v>153452</v>
      </c>
      <c r="G1550" s="12"/>
      <c r="H1550" s="13"/>
    </row>
    <row r="1551" spans="1:8" x14ac:dyDescent="0.2">
      <c r="A1551" s="20" t="s">
        <v>998</v>
      </c>
      <c r="B1551" s="92" t="s">
        <v>743</v>
      </c>
      <c r="C1551" s="93" t="s">
        <v>793</v>
      </c>
      <c r="D1551" s="22" t="s">
        <v>744</v>
      </c>
      <c r="E1551" s="45">
        <v>610</v>
      </c>
      <c r="F1551" s="294">
        <f>109213.3+1527</f>
        <v>110740.3</v>
      </c>
      <c r="G1551" s="230"/>
      <c r="H1551" s="86"/>
    </row>
    <row r="1552" spans="1:8" x14ac:dyDescent="0.2">
      <c r="A1552" s="20" t="s">
        <v>997</v>
      </c>
      <c r="B1552" s="92" t="s">
        <v>743</v>
      </c>
      <c r="C1552" s="93" t="s">
        <v>793</v>
      </c>
      <c r="D1552" s="22" t="s">
        <v>744</v>
      </c>
      <c r="E1552" s="21">
        <v>620</v>
      </c>
      <c r="F1552" s="294">
        <f>47048.4+717.4-5054.1</f>
        <v>42711.700000000004</v>
      </c>
      <c r="G1552" s="85"/>
      <c r="H1552" s="230"/>
    </row>
    <row r="1553" spans="1:8" ht="47.25" customHeight="1" x14ac:dyDescent="0.2">
      <c r="A1553" s="20" t="s">
        <v>907</v>
      </c>
      <c r="B1553" s="92" t="s">
        <v>743</v>
      </c>
      <c r="C1553" s="93" t="s">
        <v>793</v>
      </c>
      <c r="D1553" s="22" t="s">
        <v>819</v>
      </c>
      <c r="E1553" s="92"/>
      <c r="F1553" s="294">
        <f>F1554</f>
        <v>50</v>
      </c>
      <c r="G1553" s="85"/>
      <c r="H1553" s="85"/>
    </row>
    <row r="1554" spans="1:8" x14ac:dyDescent="0.2">
      <c r="A1554" s="20" t="s">
        <v>998</v>
      </c>
      <c r="B1554" s="92" t="s">
        <v>743</v>
      </c>
      <c r="C1554" s="93" t="s">
        <v>793</v>
      </c>
      <c r="D1554" s="22" t="s">
        <v>819</v>
      </c>
      <c r="E1554" s="45">
        <v>610</v>
      </c>
      <c r="F1554" s="294">
        <v>50</v>
      </c>
      <c r="G1554" s="213"/>
      <c r="H1554" s="85"/>
    </row>
    <row r="1555" spans="1:8" ht="31.5" x14ac:dyDescent="0.2">
      <c r="A1555" s="14" t="s">
        <v>1018</v>
      </c>
      <c r="B1555" s="92" t="s">
        <v>743</v>
      </c>
      <c r="C1555" s="93" t="s">
        <v>793</v>
      </c>
      <c r="D1555" s="22" t="s">
        <v>325</v>
      </c>
      <c r="E1555" s="92" t="s">
        <v>13</v>
      </c>
      <c r="F1555" s="294">
        <f>F1556</f>
        <v>2563.8000000000002</v>
      </c>
      <c r="G1555" s="12"/>
      <c r="H1555" s="13"/>
    </row>
    <row r="1556" spans="1:8" ht="31.5" customHeight="1" x14ac:dyDescent="0.2">
      <c r="A1556" s="91" t="s">
        <v>40</v>
      </c>
      <c r="B1556" s="92" t="s">
        <v>743</v>
      </c>
      <c r="C1556" s="93" t="s">
        <v>793</v>
      </c>
      <c r="D1556" s="22" t="s">
        <v>745</v>
      </c>
      <c r="E1556" s="92"/>
      <c r="F1556" s="294">
        <f>F1557+F1558</f>
        <v>2563.8000000000002</v>
      </c>
      <c r="G1556" s="12"/>
      <c r="H1556" s="13"/>
    </row>
    <row r="1557" spans="1:8" ht="15.75" customHeight="1" x14ac:dyDescent="0.2">
      <c r="A1557" s="20" t="s">
        <v>998</v>
      </c>
      <c r="B1557" s="92" t="s">
        <v>743</v>
      </c>
      <c r="C1557" s="93" t="s">
        <v>793</v>
      </c>
      <c r="D1557" s="22" t="s">
        <v>745</v>
      </c>
      <c r="E1557" s="303">
        <v>610</v>
      </c>
      <c r="F1557" s="294">
        <v>1776</v>
      </c>
      <c r="G1557" s="85"/>
      <c r="H1557" s="87"/>
    </row>
    <row r="1558" spans="1:8" s="154" customFormat="1" ht="15.75" customHeight="1" x14ac:dyDescent="0.2">
      <c r="A1558" s="20" t="s">
        <v>997</v>
      </c>
      <c r="B1558" s="92" t="s">
        <v>743</v>
      </c>
      <c r="C1558" s="93" t="s">
        <v>793</v>
      </c>
      <c r="D1558" s="22" t="s">
        <v>745</v>
      </c>
      <c r="E1558" s="21">
        <v>620</v>
      </c>
      <c r="F1558" s="294">
        <f>3415.8-2628</f>
        <v>787.80000000000018</v>
      </c>
      <c r="G1558" s="368"/>
      <c r="H1558" s="155"/>
    </row>
    <row r="1559" spans="1:8" ht="15.75" customHeight="1" x14ac:dyDescent="0.2">
      <c r="A1559" s="20" t="s">
        <v>1081</v>
      </c>
      <c r="B1559" s="92" t="s">
        <v>743</v>
      </c>
      <c r="C1559" s="22" t="s">
        <v>1080</v>
      </c>
      <c r="D1559" s="22"/>
      <c r="E1559" s="21"/>
      <c r="F1559" s="294">
        <f>F1560</f>
        <v>25</v>
      </c>
      <c r="G1559" s="12"/>
      <c r="H1559" s="13"/>
    </row>
    <row r="1560" spans="1:8" ht="15.75" customHeight="1" x14ac:dyDescent="0.2">
      <c r="A1560" s="20" t="s">
        <v>75</v>
      </c>
      <c r="B1560" s="92" t="s">
        <v>743</v>
      </c>
      <c r="C1560" s="22" t="s">
        <v>1080</v>
      </c>
      <c r="D1560" s="22" t="s">
        <v>76</v>
      </c>
      <c r="E1560" s="21" t="s">
        <v>13</v>
      </c>
      <c r="F1560" s="294">
        <f>F1561</f>
        <v>25</v>
      </c>
      <c r="G1560" s="12"/>
      <c r="H1560" s="13"/>
    </row>
    <row r="1561" spans="1:8" ht="15.75" customHeight="1" x14ac:dyDescent="0.2">
      <c r="A1561" s="20" t="s">
        <v>77</v>
      </c>
      <c r="B1561" s="92" t="s">
        <v>743</v>
      </c>
      <c r="C1561" s="22" t="s">
        <v>1080</v>
      </c>
      <c r="D1561" s="22" t="s">
        <v>78</v>
      </c>
      <c r="E1561" s="21" t="s">
        <v>13</v>
      </c>
      <c r="F1561" s="294">
        <f>F1562</f>
        <v>25</v>
      </c>
      <c r="G1561" s="23"/>
      <c r="H1561" s="13"/>
    </row>
    <row r="1562" spans="1:8" ht="15.75" customHeight="1" x14ac:dyDescent="0.2">
      <c r="A1562" s="24" t="s">
        <v>80</v>
      </c>
      <c r="B1562" s="92" t="s">
        <v>743</v>
      </c>
      <c r="C1562" s="22" t="s">
        <v>1080</v>
      </c>
      <c r="D1562" s="22" t="s">
        <v>81</v>
      </c>
      <c r="E1562" s="21"/>
      <c r="F1562" s="294">
        <f>F1563</f>
        <v>25</v>
      </c>
      <c r="G1562" s="17"/>
      <c r="H1562" s="13"/>
    </row>
    <row r="1563" spans="1:8" ht="15.75" customHeight="1" x14ac:dyDescent="0.2">
      <c r="A1563" s="14" t="s">
        <v>43</v>
      </c>
      <c r="B1563" s="92" t="s">
        <v>743</v>
      </c>
      <c r="C1563" s="22" t="s">
        <v>1080</v>
      </c>
      <c r="D1563" s="22" t="s">
        <v>81</v>
      </c>
      <c r="E1563" s="21">
        <v>240</v>
      </c>
      <c r="F1563" s="294">
        <f>25</f>
        <v>25</v>
      </c>
      <c r="G1563" s="17"/>
      <c r="H1563" s="13"/>
    </row>
    <row r="1564" spans="1:8" ht="15.75" customHeight="1" x14ac:dyDescent="0.2">
      <c r="A1564" s="20" t="s">
        <v>791</v>
      </c>
      <c r="B1564" s="92" t="s">
        <v>743</v>
      </c>
      <c r="C1564" s="92" t="s">
        <v>372</v>
      </c>
      <c r="D1564" s="22" t="s">
        <v>13</v>
      </c>
      <c r="E1564" s="92" t="s">
        <v>13</v>
      </c>
      <c r="F1564" s="294">
        <f>F1565+F1573+F1577+F1582</f>
        <v>33858.699999999997</v>
      </c>
      <c r="G1564" s="51"/>
      <c r="H1564" s="13"/>
    </row>
    <row r="1565" spans="1:8" ht="31.5" customHeight="1" x14ac:dyDescent="0.2">
      <c r="A1565" s="91" t="s">
        <v>349</v>
      </c>
      <c r="B1565" s="92" t="s">
        <v>743</v>
      </c>
      <c r="C1565" s="92" t="s">
        <v>372</v>
      </c>
      <c r="D1565" s="22" t="s">
        <v>350</v>
      </c>
      <c r="E1565" s="92" t="s">
        <v>13</v>
      </c>
      <c r="F1565" s="294">
        <f>F1566</f>
        <v>200</v>
      </c>
      <c r="G1565" s="12"/>
      <c r="H1565" s="13"/>
    </row>
    <row r="1566" spans="1:8" ht="31.5" customHeight="1" x14ac:dyDescent="0.2">
      <c r="A1566" s="91" t="s">
        <v>543</v>
      </c>
      <c r="B1566" s="92" t="s">
        <v>743</v>
      </c>
      <c r="C1566" s="92" t="s">
        <v>372</v>
      </c>
      <c r="D1566" s="22" t="s">
        <v>544</v>
      </c>
      <c r="E1566" s="92" t="s">
        <v>13</v>
      </c>
      <c r="F1566" s="294">
        <f>F1567+F1570</f>
        <v>200</v>
      </c>
      <c r="G1566" s="12"/>
      <c r="H1566" s="13"/>
    </row>
    <row r="1567" spans="1:8" ht="15.75" customHeight="1" x14ac:dyDescent="0.2">
      <c r="A1567" s="91" t="s">
        <v>602</v>
      </c>
      <c r="B1567" s="92" t="s">
        <v>743</v>
      </c>
      <c r="C1567" s="92" t="s">
        <v>372</v>
      </c>
      <c r="D1567" s="22" t="s">
        <v>603</v>
      </c>
      <c r="E1567" s="92" t="s">
        <v>13</v>
      </c>
      <c r="F1567" s="294">
        <f>F1568</f>
        <v>80</v>
      </c>
      <c r="G1567" s="12"/>
      <c r="H1567" s="13"/>
    </row>
    <row r="1568" spans="1:8" ht="31.5" customHeight="1" x14ac:dyDescent="0.2">
      <c r="A1568" s="20" t="s">
        <v>82</v>
      </c>
      <c r="B1568" s="92" t="s">
        <v>743</v>
      </c>
      <c r="C1568" s="92" t="s">
        <v>372</v>
      </c>
      <c r="D1568" s="22" t="s">
        <v>746</v>
      </c>
      <c r="E1568" s="92"/>
      <c r="F1568" s="294">
        <f>F1569</f>
        <v>80</v>
      </c>
      <c r="G1568" s="12"/>
      <c r="H1568" s="13"/>
    </row>
    <row r="1569" spans="1:8" ht="31.5" customHeight="1" x14ac:dyDescent="0.2">
      <c r="A1569" s="14" t="s">
        <v>43</v>
      </c>
      <c r="B1569" s="92" t="s">
        <v>743</v>
      </c>
      <c r="C1569" s="92" t="s">
        <v>372</v>
      </c>
      <c r="D1569" s="22" t="s">
        <v>746</v>
      </c>
      <c r="E1569" s="92">
        <v>240</v>
      </c>
      <c r="F1569" s="294">
        <v>80</v>
      </c>
      <c r="G1569" s="84"/>
      <c r="H1569" s="13"/>
    </row>
    <row r="1570" spans="1:8" ht="31.5" customHeight="1" x14ac:dyDescent="0.2">
      <c r="A1570" s="91" t="s">
        <v>545</v>
      </c>
      <c r="B1570" s="92" t="s">
        <v>743</v>
      </c>
      <c r="C1570" s="92" t="s">
        <v>372</v>
      </c>
      <c r="D1570" s="22" t="s">
        <v>546</v>
      </c>
      <c r="E1570" s="92" t="s">
        <v>13</v>
      </c>
      <c r="F1570" s="294">
        <f>F1571</f>
        <v>120</v>
      </c>
      <c r="G1570" s="12"/>
      <c r="H1570" s="13"/>
    </row>
    <row r="1571" spans="1:8" ht="31.5" customHeight="1" x14ac:dyDescent="0.2">
      <c r="A1571" s="20" t="s">
        <v>82</v>
      </c>
      <c r="B1571" s="92" t="s">
        <v>743</v>
      </c>
      <c r="C1571" s="92" t="s">
        <v>372</v>
      </c>
      <c r="D1571" s="22" t="s">
        <v>608</v>
      </c>
      <c r="E1571" s="92"/>
      <c r="F1571" s="294">
        <f>F1572</f>
        <v>120</v>
      </c>
      <c r="G1571" s="12"/>
      <c r="H1571" s="13"/>
    </row>
    <row r="1572" spans="1:8" ht="31.5" customHeight="1" x14ac:dyDescent="0.2">
      <c r="A1572" s="14" t="s">
        <v>43</v>
      </c>
      <c r="B1572" s="92" t="s">
        <v>743</v>
      </c>
      <c r="C1572" s="92" t="s">
        <v>372</v>
      </c>
      <c r="D1572" s="22" t="s">
        <v>608</v>
      </c>
      <c r="E1572" s="92">
        <v>240</v>
      </c>
      <c r="F1572" s="294">
        <v>120</v>
      </c>
      <c r="G1572" s="30"/>
      <c r="H1572" s="13"/>
    </row>
    <row r="1573" spans="1:8" ht="47.25" customHeight="1" x14ac:dyDescent="0.2">
      <c r="A1573" s="20" t="s">
        <v>85</v>
      </c>
      <c r="B1573" s="92">
        <v>918</v>
      </c>
      <c r="C1573" s="8" t="s">
        <v>372</v>
      </c>
      <c r="D1573" s="22" t="s">
        <v>86</v>
      </c>
      <c r="E1573" s="92"/>
      <c r="F1573" s="294">
        <f>F1574</f>
        <v>200</v>
      </c>
      <c r="G1573" s="30"/>
      <c r="H1573" s="13"/>
    </row>
    <row r="1574" spans="1:8" ht="15.75" customHeight="1" x14ac:dyDescent="0.2">
      <c r="A1574" s="20" t="s">
        <v>389</v>
      </c>
      <c r="B1574" s="92">
        <v>918</v>
      </c>
      <c r="C1574" s="8" t="s">
        <v>372</v>
      </c>
      <c r="D1574" s="22" t="s">
        <v>390</v>
      </c>
      <c r="E1574" s="92"/>
      <c r="F1574" s="294">
        <f>F1575</f>
        <v>200</v>
      </c>
      <c r="G1574" s="30"/>
      <c r="H1574" s="13"/>
    </row>
    <row r="1575" spans="1:8" ht="31.5" customHeight="1" x14ac:dyDescent="0.2">
      <c r="A1575" s="28" t="s">
        <v>922</v>
      </c>
      <c r="B1575" s="92">
        <v>918</v>
      </c>
      <c r="C1575" s="8" t="s">
        <v>372</v>
      </c>
      <c r="D1575" s="8" t="s">
        <v>804</v>
      </c>
      <c r="E1575" s="92"/>
      <c r="F1575" s="294">
        <f>F1576</f>
        <v>200</v>
      </c>
      <c r="G1575" s="30"/>
      <c r="H1575" s="13"/>
    </row>
    <row r="1576" spans="1:8" ht="15.75" customHeight="1" x14ac:dyDescent="0.2">
      <c r="A1576" s="14" t="s">
        <v>119</v>
      </c>
      <c r="B1576" s="95">
        <v>918</v>
      </c>
      <c r="C1576" s="8" t="s">
        <v>372</v>
      </c>
      <c r="D1576" s="8" t="s">
        <v>804</v>
      </c>
      <c r="E1576" s="92">
        <v>350</v>
      </c>
      <c r="F1576" s="294">
        <v>200</v>
      </c>
      <c r="G1576" s="30"/>
      <c r="H1576" s="13"/>
    </row>
    <row r="1577" spans="1:8" ht="63" customHeight="1" x14ac:dyDescent="0.2">
      <c r="A1577" s="20" t="s">
        <v>92</v>
      </c>
      <c r="B1577" s="92">
        <v>918</v>
      </c>
      <c r="C1577" s="21" t="s">
        <v>372</v>
      </c>
      <c r="D1577" s="22" t="s">
        <v>93</v>
      </c>
      <c r="E1577" s="21" t="s">
        <v>13</v>
      </c>
      <c r="F1577" s="294">
        <f>F1578</f>
        <v>2000</v>
      </c>
      <c r="G1577" s="30"/>
      <c r="H1577" s="13"/>
    </row>
    <row r="1578" spans="1:8" ht="47.25" customHeight="1" x14ac:dyDescent="0.2">
      <c r="A1578" s="20" t="s">
        <v>376</v>
      </c>
      <c r="B1578" s="92">
        <v>918</v>
      </c>
      <c r="C1578" s="21" t="s">
        <v>372</v>
      </c>
      <c r="D1578" s="22" t="s">
        <v>377</v>
      </c>
      <c r="E1578" s="21" t="s">
        <v>13</v>
      </c>
      <c r="F1578" s="294">
        <f>F1579</f>
        <v>2000</v>
      </c>
      <c r="G1578" s="30"/>
      <c r="H1578" s="13"/>
    </row>
    <row r="1579" spans="1:8" ht="31.5" customHeight="1" x14ac:dyDescent="0.2">
      <c r="A1579" s="20" t="s">
        <v>378</v>
      </c>
      <c r="B1579" s="92">
        <v>918</v>
      </c>
      <c r="C1579" s="21" t="s">
        <v>372</v>
      </c>
      <c r="D1579" s="22" t="s">
        <v>379</v>
      </c>
      <c r="E1579" s="21" t="s">
        <v>13</v>
      </c>
      <c r="F1579" s="294">
        <f>F1580</f>
        <v>2000</v>
      </c>
      <c r="G1579" s="30"/>
      <c r="H1579" s="13"/>
    </row>
    <row r="1580" spans="1:8" ht="31.5" customHeight="1" x14ac:dyDescent="0.2">
      <c r="A1580" s="28" t="s">
        <v>922</v>
      </c>
      <c r="B1580" s="92">
        <v>918</v>
      </c>
      <c r="C1580" s="21" t="s">
        <v>372</v>
      </c>
      <c r="D1580" s="22" t="s">
        <v>380</v>
      </c>
      <c r="E1580" s="21"/>
      <c r="F1580" s="294">
        <f>F1581</f>
        <v>2000</v>
      </c>
      <c r="G1580" s="30"/>
      <c r="H1580" s="13"/>
    </row>
    <row r="1581" spans="1:8" ht="15.75" customHeight="1" x14ac:dyDescent="0.2">
      <c r="A1581" s="14" t="s">
        <v>119</v>
      </c>
      <c r="B1581" s="95">
        <v>918</v>
      </c>
      <c r="C1581" s="7" t="s">
        <v>372</v>
      </c>
      <c r="D1581" s="8" t="s">
        <v>380</v>
      </c>
      <c r="E1581" s="7">
        <v>350</v>
      </c>
      <c r="F1581" s="294">
        <v>2000</v>
      </c>
      <c r="G1581" s="17"/>
      <c r="H1581" s="13"/>
    </row>
    <row r="1582" spans="1:8" ht="47.25" customHeight="1" x14ac:dyDescent="0.2">
      <c r="A1582" s="91" t="s">
        <v>193</v>
      </c>
      <c r="B1582" s="92" t="s">
        <v>743</v>
      </c>
      <c r="C1582" s="92" t="s">
        <v>372</v>
      </c>
      <c r="D1582" s="22" t="s">
        <v>194</v>
      </c>
      <c r="E1582" s="92" t="s">
        <v>13</v>
      </c>
      <c r="F1582" s="294">
        <f>F1583</f>
        <v>31458.7</v>
      </c>
      <c r="G1582" s="12"/>
      <c r="H1582" s="13"/>
    </row>
    <row r="1583" spans="1:8" ht="47.25" customHeight="1" x14ac:dyDescent="0.2">
      <c r="A1583" s="20" t="s">
        <v>384</v>
      </c>
      <c r="B1583" s="92">
        <v>918</v>
      </c>
      <c r="C1583" s="93" t="s">
        <v>372</v>
      </c>
      <c r="D1583" s="22" t="s">
        <v>385</v>
      </c>
      <c r="E1583" s="92"/>
      <c r="F1583" s="294">
        <f>F1584</f>
        <v>31458.7</v>
      </c>
      <c r="G1583" s="186"/>
      <c r="H1583" s="13"/>
    </row>
    <row r="1584" spans="1:8" ht="31.5" customHeight="1" x14ac:dyDescent="0.2">
      <c r="A1584" s="20" t="s">
        <v>40</v>
      </c>
      <c r="B1584" s="92">
        <v>918</v>
      </c>
      <c r="C1584" s="93" t="s">
        <v>372</v>
      </c>
      <c r="D1584" s="22" t="s">
        <v>386</v>
      </c>
      <c r="E1584" s="92"/>
      <c r="F1584" s="294">
        <f>F1585</f>
        <v>31458.7</v>
      </c>
      <c r="G1584" s="186"/>
      <c r="H1584" s="13"/>
    </row>
    <row r="1585" spans="1:8" ht="20.25" customHeight="1" x14ac:dyDescent="0.2">
      <c r="A1585" s="48" t="s">
        <v>998</v>
      </c>
      <c r="B1585" s="261">
        <v>918</v>
      </c>
      <c r="C1585" s="237" t="s">
        <v>372</v>
      </c>
      <c r="D1585" s="302" t="s">
        <v>386</v>
      </c>
      <c r="E1585" s="45">
        <v>610</v>
      </c>
      <c r="F1585" s="294">
        <f>31290+168.7</f>
        <v>31458.7</v>
      </c>
      <c r="G1585" s="366"/>
      <c r="H1585" s="67"/>
    </row>
    <row r="1586" spans="1:8" ht="15.75" customHeight="1" x14ac:dyDescent="0.2">
      <c r="A1586" s="99" t="s">
        <v>396</v>
      </c>
      <c r="B1586" s="100" t="s">
        <v>743</v>
      </c>
      <c r="C1586" s="100" t="s">
        <v>397</v>
      </c>
      <c r="D1586" s="36" t="s">
        <v>13</v>
      </c>
      <c r="E1586" s="100" t="s">
        <v>13</v>
      </c>
      <c r="F1586" s="297">
        <f>F1587</f>
        <v>63.6</v>
      </c>
      <c r="G1586" s="12"/>
      <c r="H1586" s="13"/>
    </row>
    <row r="1587" spans="1:8" ht="15.75" customHeight="1" x14ac:dyDescent="0.2">
      <c r="A1587" s="91" t="s">
        <v>404</v>
      </c>
      <c r="B1587" s="92" t="s">
        <v>743</v>
      </c>
      <c r="C1587" s="92" t="s">
        <v>405</v>
      </c>
      <c r="D1587" s="22" t="s">
        <v>13</v>
      </c>
      <c r="E1587" s="92" t="s">
        <v>13</v>
      </c>
      <c r="F1587" s="294">
        <f>F1588</f>
        <v>63.6</v>
      </c>
      <c r="G1587" s="12"/>
      <c r="H1587" s="13"/>
    </row>
    <row r="1588" spans="1:8" ht="31.5" customHeight="1" x14ac:dyDescent="0.2">
      <c r="A1588" s="91" t="s">
        <v>323</v>
      </c>
      <c r="B1588" s="92" t="s">
        <v>743</v>
      </c>
      <c r="C1588" s="92" t="s">
        <v>405</v>
      </c>
      <c r="D1588" s="22" t="s">
        <v>324</v>
      </c>
      <c r="E1588" s="92"/>
      <c r="F1588" s="294">
        <f>F1589</f>
        <v>63.6</v>
      </c>
      <c r="G1588" s="12"/>
      <c r="H1588" s="13"/>
    </row>
    <row r="1589" spans="1:8" ht="15.75" customHeight="1" x14ac:dyDescent="0.2">
      <c r="A1589" s="91" t="s">
        <v>635</v>
      </c>
      <c r="B1589" s="92" t="s">
        <v>743</v>
      </c>
      <c r="C1589" s="92" t="s">
        <v>405</v>
      </c>
      <c r="D1589" s="22" t="s">
        <v>636</v>
      </c>
      <c r="E1589" s="92"/>
      <c r="F1589" s="294">
        <f>F1590</f>
        <v>63.6</v>
      </c>
      <c r="G1589" s="12"/>
      <c r="H1589" s="13"/>
    </row>
    <row r="1590" spans="1:8" ht="47.25" customHeight="1" x14ac:dyDescent="0.2">
      <c r="A1590" s="91" t="s">
        <v>645</v>
      </c>
      <c r="B1590" s="92" t="s">
        <v>743</v>
      </c>
      <c r="C1590" s="92" t="s">
        <v>405</v>
      </c>
      <c r="D1590" s="22" t="s">
        <v>747</v>
      </c>
      <c r="E1590" s="92" t="s">
        <v>13</v>
      </c>
      <c r="F1590" s="294">
        <f>F1591</f>
        <v>63.6</v>
      </c>
      <c r="G1590" s="23"/>
      <c r="H1590" s="13"/>
    </row>
    <row r="1591" spans="1:8" ht="15.75" customHeight="1" x14ac:dyDescent="0.2">
      <c r="A1591" s="20" t="s">
        <v>998</v>
      </c>
      <c r="B1591" s="92" t="s">
        <v>743</v>
      </c>
      <c r="C1591" s="92" t="s">
        <v>405</v>
      </c>
      <c r="D1591" s="22" t="s">
        <v>747</v>
      </c>
      <c r="E1591" s="303">
        <v>610</v>
      </c>
      <c r="F1591" s="294">
        <v>63.6</v>
      </c>
      <c r="G1591" s="23"/>
      <c r="H1591" s="13"/>
    </row>
    <row r="1592" spans="1:8" ht="15.75" customHeight="1" x14ac:dyDescent="0.2">
      <c r="A1592" s="99" t="s">
        <v>482</v>
      </c>
      <c r="B1592" s="100" t="s">
        <v>743</v>
      </c>
      <c r="C1592" s="100" t="s">
        <v>483</v>
      </c>
      <c r="D1592" s="36" t="s">
        <v>13</v>
      </c>
      <c r="E1592" s="100" t="s">
        <v>13</v>
      </c>
      <c r="F1592" s="297">
        <f>F1625+F1609+F1593</f>
        <v>115106.7</v>
      </c>
      <c r="G1592" s="12"/>
      <c r="H1592" s="13"/>
    </row>
    <row r="1593" spans="1:8" ht="15.75" customHeight="1" x14ac:dyDescent="0.2">
      <c r="A1593" s="91" t="s">
        <v>794</v>
      </c>
      <c r="B1593" s="92">
        <v>918</v>
      </c>
      <c r="C1593" s="92">
        <v>1101</v>
      </c>
      <c r="D1593" s="36"/>
      <c r="E1593" s="100"/>
      <c r="F1593" s="297">
        <f>F1594+F1599+F1604</f>
        <v>6326.3</v>
      </c>
      <c r="G1593" s="12"/>
      <c r="H1593" s="13"/>
    </row>
    <row r="1594" spans="1:8" ht="47.25" customHeight="1" x14ac:dyDescent="0.2">
      <c r="A1594" s="91" t="s">
        <v>672</v>
      </c>
      <c r="B1594" s="92" t="s">
        <v>743</v>
      </c>
      <c r="C1594" s="95">
        <v>1101</v>
      </c>
      <c r="D1594" s="22" t="s">
        <v>673</v>
      </c>
      <c r="E1594" s="92" t="s">
        <v>13</v>
      </c>
      <c r="F1594" s="294">
        <f>F1595</f>
        <v>212.8</v>
      </c>
      <c r="G1594" s="12"/>
      <c r="H1594" s="13"/>
    </row>
    <row r="1595" spans="1:8" ht="15.75" customHeight="1" x14ac:dyDescent="0.2">
      <c r="A1595" s="91" t="s">
        <v>751</v>
      </c>
      <c r="B1595" s="92" t="s">
        <v>743</v>
      </c>
      <c r="C1595" s="95">
        <v>1101</v>
      </c>
      <c r="D1595" s="22" t="s">
        <v>752</v>
      </c>
      <c r="E1595" s="92" t="s">
        <v>13</v>
      </c>
      <c r="F1595" s="294">
        <f>F1596</f>
        <v>212.8</v>
      </c>
      <c r="G1595" s="12"/>
      <c r="H1595" s="13"/>
    </row>
    <row r="1596" spans="1:8" ht="31.5" customHeight="1" x14ac:dyDescent="0.2">
      <c r="A1596" s="20" t="s">
        <v>82</v>
      </c>
      <c r="B1596" s="92" t="s">
        <v>743</v>
      </c>
      <c r="C1596" s="95">
        <v>1101</v>
      </c>
      <c r="D1596" s="22" t="s">
        <v>753</v>
      </c>
      <c r="E1596" s="92"/>
      <c r="F1596" s="294">
        <f>F1598+F1597</f>
        <v>212.8</v>
      </c>
      <c r="G1596" s="12"/>
      <c r="H1596" s="13"/>
    </row>
    <row r="1597" spans="1:8" ht="31.5" customHeight="1" x14ac:dyDescent="0.2">
      <c r="A1597" s="104" t="s">
        <v>25</v>
      </c>
      <c r="B1597" s="92" t="s">
        <v>743</v>
      </c>
      <c r="C1597" s="95">
        <v>1101</v>
      </c>
      <c r="D1597" s="22" t="s">
        <v>753</v>
      </c>
      <c r="E1597" s="92">
        <v>120</v>
      </c>
      <c r="F1597" s="294">
        <v>70.400000000000006</v>
      </c>
      <c r="G1597" s="12"/>
      <c r="H1597" s="13"/>
    </row>
    <row r="1598" spans="1:8" ht="31.5" customHeight="1" x14ac:dyDescent="0.2">
      <c r="A1598" s="14" t="s">
        <v>43</v>
      </c>
      <c r="B1598" s="92" t="s">
        <v>743</v>
      </c>
      <c r="C1598" s="95">
        <v>1101</v>
      </c>
      <c r="D1598" s="22" t="s">
        <v>753</v>
      </c>
      <c r="E1598" s="92">
        <v>240</v>
      </c>
      <c r="F1598" s="294">
        <v>142.4</v>
      </c>
      <c r="G1598" s="84"/>
      <c r="H1598" s="13"/>
    </row>
    <row r="1599" spans="1:8" ht="63" customHeight="1" x14ac:dyDescent="0.2">
      <c r="A1599" s="91" t="s">
        <v>92</v>
      </c>
      <c r="B1599" s="92" t="s">
        <v>743</v>
      </c>
      <c r="C1599" s="95">
        <v>1101</v>
      </c>
      <c r="D1599" s="22" t="s">
        <v>93</v>
      </c>
      <c r="E1599" s="92" t="s">
        <v>13</v>
      </c>
      <c r="F1599" s="294">
        <f>F1600</f>
        <v>113.5</v>
      </c>
      <c r="G1599" s="12"/>
      <c r="H1599" s="13"/>
    </row>
    <row r="1600" spans="1:8" ht="47.25" customHeight="1" x14ac:dyDescent="0.2">
      <c r="A1600" s="91" t="s">
        <v>376</v>
      </c>
      <c r="B1600" s="92" t="s">
        <v>743</v>
      </c>
      <c r="C1600" s="95">
        <v>1101</v>
      </c>
      <c r="D1600" s="22" t="s">
        <v>377</v>
      </c>
      <c r="E1600" s="92" t="s">
        <v>13</v>
      </c>
      <c r="F1600" s="294">
        <f>F1601</f>
        <v>113.5</v>
      </c>
      <c r="G1600" s="12"/>
      <c r="H1600" s="13"/>
    </row>
    <row r="1601" spans="1:9" ht="31.5" customHeight="1" x14ac:dyDescent="0.2">
      <c r="A1601" s="91" t="s">
        <v>628</v>
      </c>
      <c r="B1601" s="92" t="s">
        <v>743</v>
      </c>
      <c r="C1601" s="95">
        <v>1101</v>
      </c>
      <c r="D1601" s="22" t="s">
        <v>629</v>
      </c>
      <c r="E1601" s="92" t="s">
        <v>13</v>
      </c>
      <c r="F1601" s="294">
        <f>F1602</f>
        <v>113.5</v>
      </c>
      <c r="G1601" s="12"/>
      <c r="H1601" s="13"/>
    </row>
    <row r="1602" spans="1:9" ht="31.5" customHeight="1" x14ac:dyDescent="0.2">
      <c r="A1602" s="20" t="s">
        <v>82</v>
      </c>
      <c r="B1602" s="92" t="s">
        <v>743</v>
      </c>
      <c r="C1602" s="95">
        <v>1101</v>
      </c>
      <c r="D1602" s="22" t="s">
        <v>630</v>
      </c>
      <c r="E1602" s="92"/>
      <c r="F1602" s="294">
        <f>F1603</f>
        <v>113.5</v>
      </c>
      <c r="G1602" s="12"/>
      <c r="H1602" s="13"/>
    </row>
    <row r="1603" spans="1:9" ht="31.5" customHeight="1" x14ac:dyDescent="0.2">
      <c r="A1603" s="14" t="s">
        <v>43</v>
      </c>
      <c r="B1603" s="92" t="s">
        <v>743</v>
      </c>
      <c r="C1603" s="95">
        <v>1101</v>
      </c>
      <c r="D1603" s="22" t="s">
        <v>630</v>
      </c>
      <c r="E1603" s="92">
        <v>240</v>
      </c>
      <c r="F1603" s="294">
        <v>113.5</v>
      </c>
      <c r="G1603" s="84"/>
      <c r="H1603" s="13"/>
    </row>
    <row r="1604" spans="1:9" ht="31.5" customHeight="1" x14ac:dyDescent="0.2">
      <c r="A1604" s="91" t="s">
        <v>323</v>
      </c>
      <c r="B1604" s="92" t="s">
        <v>743</v>
      </c>
      <c r="C1604" s="95">
        <v>1101</v>
      </c>
      <c r="D1604" s="22" t="s">
        <v>324</v>
      </c>
      <c r="E1604" s="92" t="s">
        <v>13</v>
      </c>
      <c r="F1604" s="294">
        <f>F1605</f>
        <v>6000</v>
      </c>
      <c r="G1604" s="12"/>
      <c r="H1604" s="13"/>
    </row>
    <row r="1605" spans="1:9" ht="15.75" customHeight="1" x14ac:dyDescent="0.2">
      <c r="A1605" s="91" t="s">
        <v>635</v>
      </c>
      <c r="B1605" s="92" t="s">
        <v>743</v>
      </c>
      <c r="C1605" s="95">
        <v>1101</v>
      </c>
      <c r="D1605" s="22" t="s">
        <v>636</v>
      </c>
      <c r="E1605" s="92" t="s">
        <v>13</v>
      </c>
      <c r="F1605" s="294">
        <f>F1606</f>
        <v>6000</v>
      </c>
      <c r="G1605" s="12"/>
      <c r="H1605" s="13"/>
    </row>
    <row r="1606" spans="1:9" ht="31.5" customHeight="1" x14ac:dyDescent="0.2">
      <c r="A1606" s="20" t="s">
        <v>82</v>
      </c>
      <c r="B1606" s="92" t="s">
        <v>743</v>
      </c>
      <c r="C1606" s="95">
        <v>1101</v>
      </c>
      <c r="D1606" s="22" t="s">
        <v>637</v>
      </c>
      <c r="E1606" s="92"/>
      <c r="F1606" s="294">
        <f>F1607+F1608</f>
        <v>6000</v>
      </c>
      <c r="G1606" s="12"/>
      <c r="H1606" s="13"/>
    </row>
    <row r="1607" spans="1:9" ht="31.5" customHeight="1" x14ac:dyDescent="0.2">
      <c r="A1607" s="104" t="s">
        <v>25</v>
      </c>
      <c r="B1607" s="95" t="s">
        <v>743</v>
      </c>
      <c r="C1607" s="95">
        <v>1101</v>
      </c>
      <c r="D1607" s="8" t="s">
        <v>637</v>
      </c>
      <c r="E1607" s="95">
        <v>120</v>
      </c>
      <c r="F1607" s="294">
        <v>500</v>
      </c>
      <c r="G1607" s="84"/>
      <c r="H1607" s="13"/>
    </row>
    <row r="1608" spans="1:9" ht="31.5" customHeight="1" x14ac:dyDescent="0.2">
      <c r="A1608" s="14" t="s">
        <v>43</v>
      </c>
      <c r="B1608" s="95" t="s">
        <v>743</v>
      </c>
      <c r="C1608" s="95">
        <v>1101</v>
      </c>
      <c r="D1608" s="8" t="s">
        <v>637</v>
      </c>
      <c r="E1608" s="95">
        <v>240</v>
      </c>
      <c r="F1608" s="294">
        <v>5500</v>
      </c>
      <c r="G1608" s="84"/>
      <c r="H1608" s="13"/>
    </row>
    <row r="1609" spans="1:9" ht="15.75" customHeight="1" x14ac:dyDescent="0.2">
      <c r="A1609" s="91" t="s">
        <v>484</v>
      </c>
      <c r="B1609" s="92">
        <v>918</v>
      </c>
      <c r="C1609" s="92">
        <v>1102</v>
      </c>
      <c r="D1609" s="22"/>
      <c r="E1609" s="92"/>
      <c r="F1609" s="294">
        <f>F1610</f>
        <v>62030.299999999996</v>
      </c>
      <c r="G1609" s="12"/>
      <c r="H1609" s="13"/>
    </row>
    <row r="1610" spans="1:9" ht="31.5" customHeight="1" x14ac:dyDescent="0.2">
      <c r="A1610" s="91" t="s">
        <v>323</v>
      </c>
      <c r="B1610" s="92">
        <v>918</v>
      </c>
      <c r="C1610" s="92" t="s">
        <v>485</v>
      </c>
      <c r="D1610" s="22" t="s">
        <v>324</v>
      </c>
      <c r="E1610" s="92" t="s">
        <v>13</v>
      </c>
      <c r="F1610" s="294">
        <f>F1611+F1620</f>
        <v>62030.299999999996</v>
      </c>
      <c r="G1610" s="12"/>
      <c r="H1610" s="13"/>
    </row>
    <row r="1611" spans="1:9" ht="18.75" customHeight="1" x14ac:dyDescent="0.2">
      <c r="A1611" s="91" t="s">
        <v>635</v>
      </c>
      <c r="B1611" s="92">
        <v>918</v>
      </c>
      <c r="C1611" s="92" t="s">
        <v>485</v>
      </c>
      <c r="D1611" s="22" t="s">
        <v>636</v>
      </c>
      <c r="E1611" s="92"/>
      <c r="F1611" s="294">
        <f>F1612+F1614+F1618+F1616</f>
        <v>50423.7</v>
      </c>
      <c r="G1611" s="12"/>
      <c r="H1611" s="13"/>
    </row>
    <row r="1612" spans="1:9" ht="31.5" customHeight="1" x14ac:dyDescent="0.2">
      <c r="A1612" s="91" t="s">
        <v>40</v>
      </c>
      <c r="B1612" s="92">
        <v>918</v>
      </c>
      <c r="C1612" s="92">
        <v>1102</v>
      </c>
      <c r="D1612" s="22" t="s">
        <v>744</v>
      </c>
      <c r="E1612" s="92"/>
      <c r="F1612" s="294">
        <f>F1613</f>
        <v>44118.7</v>
      </c>
      <c r="G1612" s="12"/>
      <c r="H1612" s="13"/>
    </row>
    <row r="1613" spans="1:9" x14ac:dyDescent="0.2">
      <c r="A1613" s="20" t="s">
        <v>998</v>
      </c>
      <c r="B1613" s="92">
        <v>918</v>
      </c>
      <c r="C1613" s="92" t="s">
        <v>485</v>
      </c>
      <c r="D1613" s="22" t="s">
        <v>744</v>
      </c>
      <c r="E1613" s="45">
        <v>610</v>
      </c>
      <c r="F1613" s="294">
        <f>26386.6+12354.6+323.4+5054.1</f>
        <v>44118.7</v>
      </c>
      <c r="G1613" s="85"/>
      <c r="H1613" s="85"/>
      <c r="I1613" s="85"/>
    </row>
    <row r="1614" spans="1:9" s="181" customFormat="1" ht="47.25" customHeight="1" x14ac:dyDescent="0.2">
      <c r="A1614" s="20" t="s">
        <v>907</v>
      </c>
      <c r="B1614" s="7">
        <v>918</v>
      </c>
      <c r="C1614" s="7" t="s">
        <v>485</v>
      </c>
      <c r="D1614" s="8" t="s">
        <v>819</v>
      </c>
      <c r="E1614" s="7"/>
      <c r="F1614" s="294">
        <f>F1615</f>
        <v>110</v>
      </c>
      <c r="G1614" s="179"/>
      <c r="H1614" s="180"/>
    </row>
    <row r="1615" spans="1:9" x14ac:dyDescent="0.2">
      <c r="A1615" s="20" t="s">
        <v>998</v>
      </c>
      <c r="B1615" s="95">
        <v>918</v>
      </c>
      <c r="C1615" s="95" t="s">
        <v>485</v>
      </c>
      <c r="D1615" s="8" t="s">
        <v>819</v>
      </c>
      <c r="E1615" s="45">
        <v>610</v>
      </c>
      <c r="F1615" s="294">
        <v>110</v>
      </c>
      <c r="G1615" s="32"/>
      <c r="H1615" s="13"/>
    </row>
    <row r="1616" spans="1:9" ht="31.5" x14ac:dyDescent="0.2">
      <c r="A1616" s="88" t="s">
        <v>1030</v>
      </c>
      <c r="B1616" s="95">
        <v>918</v>
      </c>
      <c r="C1616" s="95" t="s">
        <v>485</v>
      </c>
      <c r="D1616" s="8" t="s">
        <v>1031</v>
      </c>
      <c r="E1616" s="95"/>
      <c r="F1616" s="294">
        <f>F1617</f>
        <v>6012.7</v>
      </c>
      <c r="G1616" s="32"/>
      <c r="H1616" s="13"/>
    </row>
    <row r="1617" spans="1:8" x14ac:dyDescent="0.2">
      <c r="A1617" s="20" t="s">
        <v>998</v>
      </c>
      <c r="B1617" s="92">
        <v>918</v>
      </c>
      <c r="C1617" s="92" t="s">
        <v>485</v>
      </c>
      <c r="D1617" s="22" t="s">
        <v>1031</v>
      </c>
      <c r="E1617" s="92">
        <v>610</v>
      </c>
      <c r="F1617" s="294">
        <v>6012.7</v>
      </c>
      <c r="G1617" s="32"/>
      <c r="H1617" s="13"/>
    </row>
    <row r="1618" spans="1:8" ht="31.5" x14ac:dyDescent="0.2">
      <c r="A1618" s="94" t="s">
        <v>953</v>
      </c>
      <c r="B1618" s="92">
        <v>918</v>
      </c>
      <c r="C1618" s="92" t="s">
        <v>485</v>
      </c>
      <c r="D1618" s="22" t="s">
        <v>748</v>
      </c>
      <c r="E1618" s="92"/>
      <c r="F1618" s="294">
        <f>F1619</f>
        <v>182.3</v>
      </c>
      <c r="G1618" s="16"/>
      <c r="H1618" s="13"/>
    </row>
    <row r="1619" spans="1:8" ht="15.75" customHeight="1" x14ac:dyDescent="0.2">
      <c r="A1619" s="20" t="s">
        <v>998</v>
      </c>
      <c r="B1619" s="92">
        <v>918</v>
      </c>
      <c r="C1619" s="92" t="s">
        <v>485</v>
      </c>
      <c r="D1619" s="22" t="s">
        <v>748</v>
      </c>
      <c r="E1619" s="303">
        <v>610</v>
      </c>
      <c r="F1619" s="294">
        <v>182.3</v>
      </c>
      <c r="G1619" s="16"/>
      <c r="H1619" s="13"/>
    </row>
    <row r="1620" spans="1:8" ht="32.25" customHeight="1" x14ac:dyDescent="0.2">
      <c r="A1620" s="14" t="s">
        <v>1018</v>
      </c>
      <c r="B1620" s="92">
        <v>918</v>
      </c>
      <c r="C1620" s="92" t="s">
        <v>485</v>
      </c>
      <c r="D1620" s="22" t="s">
        <v>325</v>
      </c>
      <c r="E1620" s="303"/>
      <c r="F1620" s="294">
        <f>F1623+F1621</f>
        <v>11606.6</v>
      </c>
      <c r="G1620" s="16"/>
      <c r="H1620" s="13"/>
    </row>
    <row r="1621" spans="1:8" ht="32.25" customHeight="1" x14ac:dyDescent="0.2">
      <c r="A1621" s="14" t="s">
        <v>40</v>
      </c>
      <c r="B1621" s="92">
        <v>918</v>
      </c>
      <c r="C1621" s="92" t="s">
        <v>485</v>
      </c>
      <c r="D1621" s="22" t="s">
        <v>745</v>
      </c>
      <c r="E1621" s="303"/>
      <c r="F1621" s="294">
        <f>F1622</f>
        <v>11556</v>
      </c>
      <c r="G1621" s="16"/>
      <c r="H1621" s="13"/>
    </row>
    <row r="1622" spans="1:8" ht="32.25" customHeight="1" x14ac:dyDescent="0.2">
      <c r="A1622" s="20" t="s">
        <v>998</v>
      </c>
      <c r="B1622" s="92">
        <v>918</v>
      </c>
      <c r="C1622" s="92" t="s">
        <v>485</v>
      </c>
      <c r="D1622" s="22" t="s">
        <v>745</v>
      </c>
      <c r="E1622" s="303">
        <v>610</v>
      </c>
      <c r="F1622" s="295">
        <f>8928+2628</f>
        <v>11556</v>
      </c>
      <c r="G1622" s="367"/>
      <c r="H1622" s="85"/>
    </row>
    <row r="1623" spans="1:8" ht="29.25" customHeight="1" x14ac:dyDescent="0.2">
      <c r="A1623" s="94" t="s">
        <v>1016</v>
      </c>
      <c r="B1623" s="92">
        <v>918</v>
      </c>
      <c r="C1623" s="92" t="s">
        <v>485</v>
      </c>
      <c r="D1623" s="22" t="s">
        <v>960</v>
      </c>
      <c r="E1623" s="287"/>
      <c r="F1623" s="294">
        <f>F1624</f>
        <v>50.6</v>
      </c>
      <c r="G1623" s="17"/>
      <c r="H1623" s="13"/>
    </row>
    <row r="1624" spans="1:8" ht="15.75" customHeight="1" x14ac:dyDescent="0.2">
      <c r="A1624" s="20" t="s">
        <v>998</v>
      </c>
      <c r="B1624" s="92">
        <v>918</v>
      </c>
      <c r="C1624" s="92" t="s">
        <v>485</v>
      </c>
      <c r="D1624" s="22" t="s">
        <v>960</v>
      </c>
      <c r="E1624" s="287">
        <v>610</v>
      </c>
      <c r="F1624" s="294">
        <v>50.6</v>
      </c>
      <c r="G1624" s="17"/>
      <c r="H1624" s="13"/>
    </row>
    <row r="1625" spans="1:8" ht="15.75" customHeight="1" x14ac:dyDescent="0.2">
      <c r="A1625" s="99" t="s">
        <v>749</v>
      </c>
      <c r="B1625" s="100" t="s">
        <v>743</v>
      </c>
      <c r="C1625" s="100" t="s">
        <v>750</v>
      </c>
      <c r="D1625" s="36" t="s">
        <v>13</v>
      </c>
      <c r="E1625" s="100" t="s">
        <v>13</v>
      </c>
      <c r="F1625" s="297">
        <f>F1626+F1632+F1643</f>
        <v>46750.1</v>
      </c>
      <c r="G1625" s="12"/>
      <c r="H1625" s="13"/>
    </row>
    <row r="1626" spans="1:8" ht="47.25" customHeight="1" x14ac:dyDescent="0.2">
      <c r="A1626" s="20" t="s">
        <v>75</v>
      </c>
      <c r="B1626" s="92" t="s">
        <v>743</v>
      </c>
      <c r="C1626" s="92" t="s">
        <v>750</v>
      </c>
      <c r="D1626" s="22" t="s">
        <v>76</v>
      </c>
      <c r="E1626" s="21" t="s">
        <v>13</v>
      </c>
      <c r="F1626" s="294">
        <f>F1627</f>
        <v>25</v>
      </c>
      <c r="G1626" s="12"/>
      <c r="H1626" s="13"/>
    </row>
    <row r="1627" spans="1:8" ht="15.75" customHeight="1" x14ac:dyDescent="0.2">
      <c r="A1627" s="20" t="s">
        <v>77</v>
      </c>
      <c r="B1627" s="92" t="s">
        <v>743</v>
      </c>
      <c r="C1627" s="92" t="s">
        <v>750</v>
      </c>
      <c r="D1627" s="22" t="s">
        <v>78</v>
      </c>
      <c r="E1627" s="21" t="s">
        <v>13</v>
      </c>
      <c r="F1627" s="294">
        <f>F1628+F1630</f>
        <v>25</v>
      </c>
      <c r="G1627" s="12"/>
      <c r="H1627" s="13"/>
    </row>
    <row r="1628" spans="1:8" ht="15.75" customHeight="1" x14ac:dyDescent="0.2">
      <c r="A1628" s="24" t="s">
        <v>47</v>
      </c>
      <c r="B1628" s="92" t="s">
        <v>743</v>
      </c>
      <c r="C1628" s="92" t="s">
        <v>750</v>
      </c>
      <c r="D1628" s="22" t="s">
        <v>79</v>
      </c>
      <c r="E1628" s="21"/>
      <c r="F1628" s="294">
        <f>F1629</f>
        <v>25</v>
      </c>
      <c r="G1628" s="12"/>
      <c r="H1628" s="13"/>
    </row>
    <row r="1629" spans="1:8" ht="31.5" customHeight="1" x14ac:dyDescent="0.2">
      <c r="A1629" s="20" t="s">
        <v>25</v>
      </c>
      <c r="B1629" s="92" t="s">
        <v>743</v>
      </c>
      <c r="C1629" s="92" t="s">
        <v>750</v>
      </c>
      <c r="D1629" s="22" t="s">
        <v>79</v>
      </c>
      <c r="E1629" s="21">
        <v>120</v>
      </c>
      <c r="F1629" s="294">
        <v>25</v>
      </c>
      <c r="G1629" s="62"/>
      <c r="H1629" s="13"/>
    </row>
    <row r="1630" spans="1:8" ht="31.5" customHeight="1" x14ac:dyDescent="0.2">
      <c r="A1630" s="94" t="s">
        <v>80</v>
      </c>
      <c r="B1630" s="92">
        <v>918</v>
      </c>
      <c r="C1630" s="92" t="s">
        <v>750</v>
      </c>
      <c r="D1630" s="22" t="s">
        <v>81</v>
      </c>
      <c r="E1630" s="92"/>
      <c r="F1630" s="294">
        <f>F1631</f>
        <v>0</v>
      </c>
      <c r="G1630" s="30"/>
      <c r="H1630" s="13"/>
    </row>
    <row r="1631" spans="1:8" ht="37.5" customHeight="1" x14ac:dyDescent="0.2">
      <c r="A1631" s="14" t="s">
        <v>43</v>
      </c>
      <c r="B1631" s="92">
        <v>918</v>
      </c>
      <c r="C1631" s="92" t="s">
        <v>750</v>
      </c>
      <c r="D1631" s="22" t="s">
        <v>81</v>
      </c>
      <c r="E1631" s="92">
        <v>240</v>
      </c>
      <c r="F1631" s="294">
        <f>25-25</f>
        <v>0</v>
      </c>
      <c r="G1631" s="109"/>
      <c r="H1631" s="13"/>
    </row>
    <row r="1632" spans="1:8" ht="39.75" customHeight="1" x14ac:dyDescent="0.2">
      <c r="A1632" s="97" t="s">
        <v>323</v>
      </c>
      <c r="B1632" s="95" t="s">
        <v>743</v>
      </c>
      <c r="C1632" s="95" t="s">
        <v>750</v>
      </c>
      <c r="D1632" s="8" t="s">
        <v>324</v>
      </c>
      <c r="E1632" s="95" t="s">
        <v>13</v>
      </c>
      <c r="F1632" s="294">
        <f>F1633+F1638</f>
        <v>16688.099999999999</v>
      </c>
      <c r="G1632" s="12"/>
      <c r="H1632" s="13"/>
    </row>
    <row r="1633" spans="1:10" ht="15.75" customHeight="1" x14ac:dyDescent="0.2">
      <c r="A1633" s="97" t="s">
        <v>635</v>
      </c>
      <c r="B1633" s="95" t="s">
        <v>743</v>
      </c>
      <c r="C1633" s="95" t="s">
        <v>750</v>
      </c>
      <c r="D1633" s="8" t="s">
        <v>636</v>
      </c>
      <c r="E1633" s="95" t="s">
        <v>13</v>
      </c>
      <c r="F1633" s="294">
        <f>F1634+F1636</f>
        <v>290</v>
      </c>
      <c r="G1633" s="12"/>
      <c r="H1633" s="13"/>
    </row>
    <row r="1634" spans="1:10" ht="31.5" customHeight="1" x14ac:dyDescent="0.2">
      <c r="A1634" s="20" t="s">
        <v>82</v>
      </c>
      <c r="B1634" s="95" t="s">
        <v>743</v>
      </c>
      <c r="C1634" s="95" t="s">
        <v>750</v>
      </c>
      <c r="D1634" s="8" t="s">
        <v>637</v>
      </c>
      <c r="E1634" s="95"/>
      <c r="F1634" s="294">
        <f>F1635</f>
        <v>200</v>
      </c>
      <c r="G1634" s="130"/>
      <c r="H1634" s="13"/>
    </row>
    <row r="1635" spans="1:10" ht="31.5" customHeight="1" x14ac:dyDescent="0.2">
      <c r="A1635" s="14" t="s">
        <v>43</v>
      </c>
      <c r="B1635" s="95" t="s">
        <v>743</v>
      </c>
      <c r="C1635" s="95" t="s">
        <v>750</v>
      </c>
      <c r="D1635" s="8" t="s">
        <v>637</v>
      </c>
      <c r="E1635" s="95">
        <v>240</v>
      </c>
      <c r="F1635" s="294">
        <v>200</v>
      </c>
      <c r="G1635" s="85"/>
    </row>
    <row r="1636" spans="1:10" ht="63" customHeight="1" x14ac:dyDescent="0.2">
      <c r="A1636" s="20" t="s">
        <v>611</v>
      </c>
      <c r="B1636" s="92" t="s">
        <v>743</v>
      </c>
      <c r="C1636" s="92" t="s">
        <v>750</v>
      </c>
      <c r="D1636" s="22" t="s">
        <v>754</v>
      </c>
      <c r="E1636" s="92"/>
      <c r="F1636" s="294">
        <f>F1637</f>
        <v>90</v>
      </c>
      <c r="G1636" s="30"/>
      <c r="H1636" s="13"/>
    </row>
    <row r="1637" spans="1:10" ht="15.75" customHeight="1" x14ac:dyDescent="0.2">
      <c r="A1637" s="105" t="s">
        <v>119</v>
      </c>
      <c r="B1637" s="95" t="s">
        <v>743</v>
      </c>
      <c r="C1637" s="92" t="s">
        <v>750</v>
      </c>
      <c r="D1637" s="22" t="s">
        <v>754</v>
      </c>
      <c r="E1637" s="92">
        <v>350</v>
      </c>
      <c r="F1637" s="294">
        <v>90</v>
      </c>
      <c r="G1637" s="60"/>
      <c r="H1637" s="13"/>
    </row>
    <row r="1638" spans="1:10" ht="48.75" customHeight="1" x14ac:dyDescent="0.2">
      <c r="A1638" s="88" t="s">
        <v>936</v>
      </c>
      <c r="B1638" s="95" t="s">
        <v>743</v>
      </c>
      <c r="C1638" s="7" t="s">
        <v>750</v>
      </c>
      <c r="D1638" s="8" t="s">
        <v>914</v>
      </c>
      <c r="E1638" s="7" t="s">
        <v>13</v>
      </c>
      <c r="F1638" s="294">
        <f>F1639</f>
        <v>16398.099999999999</v>
      </c>
      <c r="G1638" s="182"/>
      <c r="H1638" s="13"/>
    </row>
    <row r="1639" spans="1:10" ht="15.75" customHeight="1" x14ac:dyDescent="0.2">
      <c r="A1639" s="14" t="s">
        <v>40</v>
      </c>
      <c r="B1639" s="95" t="s">
        <v>743</v>
      </c>
      <c r="C1639" s="7" t="s">
        <v>750</v>
      </c>
      <c r="D1639" s="8" t="s">
        <v>915</v>
      </c>
      <c r="E1639" s="7"/>
      <c r="F1639" s="294">
        <f>F1640+F1641+F1642</f>
        <v>16398.099999999999</v>
      </c>
      <c r="G1639" s="182"/>
      <c r="H1639" s="13"/>
    </row>
    <row r="1640" spans="1:10" ht="15.75" customHeight="1" x14ac:dyDescent="0.2">
      <c r="A1640" s="14" t="s">
        <v>42</v>
      </c>
      <c r="B1640" s="95" t="s">
        <v>743</v>
      </c>
      <c r="C1640" s="7" t="s">
        <v>750</v>
      </c>
      <c r="D1640" s="8" t="s">
        <v>915</v>
      </c>
      <c r="E1640" s="7">
        <v>110</v>
      </c>
      <c r="F1640" s="294">
        <f>15108+570.4</f>
        <v>15678.4</v>
      </c>
      <c r="G1640" s="219"/>
      <c r="H1640" s="13"/>
    </row>
    <row r="1641" spans="1:10" ht="15.75" customHeight="1" x14ac:dyDescent="0.2">
      <c r="A1641" s="14" t="s">
        <v>43</v>
      </c>
      <c r="B1641" s="95" t="s">
        <v>743</v>
      </c>
      <c r="C1641" s="7" t="s">
        <v>750</v>
      </c>
      <c r="D1641" s="8" t="s">
        <v>915</v>
      </c>
      <c r="E1641" s="7">
        <v>240</v>
      </c>
      <c r="F1641" s="294">
        <v>696.7</v>
      </c>
      <c r="G1641" s="219"/>
      <c r="H1641" s="13"/>
    </row>
    <row r="1642" spans="1:10" ht="15.75" customHeight="1" x14ac:dyDescent="0.2">
      <c r="A1642" s="14" t="s">
        <v>44</v>
      </c>
      <c r="B1642" s="95" t="s">
        <v>743</v>
      </c>
      <c r="C1642" s="7" t="s">
        <v>750</v>
      </c>
      <c r="D1642" s="8" t="s">
        <v>915</v>
      </c>
      <c r="E1642" s="7">
        <v>850</v>
      </c>
      <c r="F1642" s="294">
        <v>23</v>
      </c>
      <c r="G1642" s="219"/>
      <c r="H1642" s="13"/>
    </row>
    <row r="1643" spans="1:10" ht="31.5" customHeight="1" x14ac:dyDescent="0.2">
      <c r="A1643" s="91" t="s">
        <v>18</v>
      </c>
      <c r="B1643" s="92" t="s">
        <v>743</v>
      </c>
      <c r="C1643" s="92" t="s">
        <v>750</v>
      </c>
      <c r="D1643" s="22" t="s">
        <v>19</v>
      </c>
      <c r="E1643" s="92" t="s">
        <v>13</v>
      </c>
      <c r="F1643" s="294">
        <f>F1644</f>
        <v>30037</v>
      </c>
      <c r="G1643" s="16"/>
      <c r="H1643" s="13"/>
    </row>
    <row r="1644" spans="1:10" ht="15.75" customHeight="1" x14ac:dyDescent="0.2">
      <c r="A1644" s="91" t="s">
        <v>62</v>
      </c>
      <c r="B1644" s="92" t="s">
        <v>743</v>
      </c>
      <c r="C1644" s="92" t="s">
        <v>750</v>
      </c>
      <c r="D1644" s="22" t="s">
        <v>63</v>
      </c>
      <c r="E1644" s="92"/>
      <c r="F1644" s="294">
        <f>F1645</f>
        <v>30037</v>
      </c>
      <c r="G1644" s="12"/>
      <c r="H1644" s="13"/>
    </row>
    <row r="1645" spans="1:10" ht="15.75" customHeight="1" x14ac:dyDescent="0.2">
      <c r="A1645" s="91" t="s">
        <v>29</v>
      </c>
      <c r="B1645" s="92" t="s">
        <v>743</v>
      </c>
      <c r="C1645" s="92" t="s">
        <v>750</v>
      </c>
      <c r="D1645" s="22" t="s">
        <v>64</v>
      </c>
      <c r="E1645" s="92"/>
      <c r="F1645" s="294">
        <f>F1646</f>
        <v>30037</v>
      </c>
      <c r="G1645" s="12"/>
      <c r="H1645" s="13"/>
    </row>
    <row r="1646" spans="1:10" ht="15.75" customHeight="1" x14ac:dyDescent="0.2">
      <c r="A1646" s="14" t="s">
        <v>773</v>
      </c>
      <c r="B1646" s="92" t="s">
        <v>743</v>
      </c>
      <c r="C1646" s="92" t="s">
        <v>750</v>
      </c>
      <c r="D1646" s="22" t="s">
        <v>65</v>
      </c>
      <c r="E1646" s="92"/>
      <c r="F1646" s="294">
        <f>F1647</f>
        <v>30037</v>
      </c>
      <c r="G1646" s="12"/>
      <c r="H1646" s="13"/>
    </row>
    <row r="1647" spans="1:10" ht="31.5" customHeight="1" x14ac:dyDescent="0.2">
      <c r="A1647" s="91" t="s">
        <v>25</v>
      </c>
      <c r="B1647" s="92" t="s">
        <v>743</v>
      </c>
      <c r="C1647" s="92" t="s">
        <v>750</v>
      </c>
      <c r="D1647" s="22" t="s">
        <v>65</v>
      </c>
      <c r="E1647" s="92">
        <v>120</v>
      </c>
      <c r="F1647" s="294">
        <f>29063.8+973.2</f>
        <v>30037</v>
      </c>
      <c r="G1647" s="62"/>
      <c r="H1647" s="62"/>
      <c r="I1647" s="62"/>
    </row>
    <row r="1648" spans="1:10" ht="18.75" customHeight="1" x14ac:dyDescent="0.2">
      <c r="A1648" s="102" t="s">
        <v>755</v>
      </c>
      <c r="B1648" s="103"/>
      <c r="C1648" s="103"/>
      <c r="D1648" s="103"/>
      <c r="E1648" s="103"/>
      <c r="F1648" s="307">
        <f>F11+F41+F680+F751+F789+F833+F1152+F1309+F1513</f>
        <v>21214741.599999998</v>
      </c>
      <c r="G1648" s="65"/>
      <c r="H1648" s="69"/>
      <c r="I1648" s="69"/>
      <c r="J1648" s="69"/>
    </row>
    <row r="1649" spans="4:7" x14ac:dyDescent="0.2">
      <c r="D1649" s="328"/>
      <c r="E1649" s="2"/>
      <c r="G1649" s="172"/>
    </row>
  </sheetData>
  <customSheetViews>
    <customSheetView guid="{36DCE0BA-3DAA-4D16-9A6C-D74D85939BC4}" scale="110" showPageBreaks="1" printArea="1" view="pageBreakPreview">
      <selection activeCell="A4" sqref="A4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1"/>
      <headerFooter differentFirst="1">
        <oddHeader>&amp;C&amp;P</oddHeader>
      </headerFooter>
    </customSheetView>
    <customSheetView guid="{9AAB4CD6-CA02-4F89-A251-5612382981E7}" scale="90" showPageBreaks="1" printArea="1" view="pageBreakPreview" topLeftCell="A177">
      <selection activeCell="G184" sqref="G184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2"/>
      <headerFooter differentFirst="1">
        <oddHeader>&amp;C&amp;P</oddHeader>
      </headerFooter>
    </customSheetView>
    <customSheetView guid="{A1566C65-087F-49E5-974A-3CF262DD7D96}" scale="90" showPageBreaks="1" printArea="1" showAutoFilter="1" view="pageBreakPreview" topLeftCell="A1639">
      <selection activeCell="F1651" sqref="F1651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3"/>
      <headerFooter differentFirst="1">
        <oddHeader>&amp;C&amp;P</oddHeader>
      </headerFooter>
      <autoFilter ref="A10:O1647"/>
    </customSheetView>
    <customSheetView guid="{1CE5A45D-2312-4713-A5DC-016ED1C7E17E}" showPageBreaks="1" printArea="1" showAutoFilter="1" view="pageBreakPreview" topLeftCell="A1399">
      <selection activeCell="A1424" sqref="A1424:XFD1424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4"/>
      <headerFooter differentFirst="1">
        <oddHeader>&amp;C&amp;P</oddHeader>
      </headerFooter>
      <autoFilter ref="A10:F1647"/>
    </customSheetView>
    <customSheetView guid="{219F7EAD-D730-4D71-9324-77D1678FEC49}" scale="90" showPageBreaks="1" printArea="1" showAutoFilter="1" view="pageBreakPreview">
      <selection activeCell="E17" sqref="E17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5"/>
      <headerFooter differentFirst="1">
        <oddHeader>&amp;C&amp;P</oddHeader>
      </headerFooter>
      <autoFilter ref="A10:O1647"/>
    </customSheetView>
    <customSheetView guid="{1663216F-E4C5-4B4E-838D-07E5C6B7FB5D}" scale="90" showPageBreaks="1" printArea="1" showAutoFilter="1" view="pageBreakPreview" topLeftCell="A647">
      <selection activeCell="A655" sqref="A655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6"/>
      <headerFooter differentFirst="1">
        <oddHeader>&amp;C&amp;P</oddHeader>
      </headerFooter>
      <autoFilter ref="A10:O1646"/>
    </customSheetView>
    <customSheetView guid="{FE5A4646-1F82-478B-AB34-931BAD185684}" showPageBreaks="1" printArea="1" showAutoFilter="1" view="pageBreakPreview">
      <selection activeCell="G15" sqref="G15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7"/>
      <headerFooter differentFirst="1">
        <oddHeader>&amp;C&amp;P</oddHeader>
      </headerFooter>
      <autoFilter ref="A10:O1644"/>
    </customSheetView>
    <customSheetView guid="{8641C9CE-CF0B-47B3-96C3-90D4839F015C}" scale="90" showPageBreaks="1" printArea="1" showAutoFilter="1" view="pageBreakPreview" topLeftCell="A430">
      <selection activeCell="D434" sqref="D434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8"/>
      <headerFooter differentFirst="1">
        <oddHeader>&amp;C&amp;P</oddHeader>
      </headerFooter>
      <autoFilter ref="A10:O1642"/>
    </customSheetView>
    <customSheetView guid="{74AAF578-B55E-4738-AF4B-ED62BC3A47E2}" scale="110" showPageBreaks="1" printArea="1" showAutoFilter="1" view="pageBreakPreview" topLeftCell="A473">
      <selection activeCell="H514" sqref="H514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9"/>
      <headerFooter differentFirst="1">
        <oddHeader>&amp;C&amp;P</oddHeader>
      </headerFooter>
      <autoFilter ref="A9:F1517">
        <sortState ref="A11:F1517">
          <sortCondition ref="F4:F1490"/>
        </sortState>
      </autoFilter>
    </customSheetView>
    <customSheetView guid="{E65B5D5F-CB7A-4100-BC5C-84BF501F4962}" scale="90" showPageBreaks="1" printArea="1" showAutoFilter="1" view="pageBreakPreview" topLeftCell="A262">
      <selection activeCell="F273" sqref="F273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10"/>
      <headerFooter differentFirst="1">
        <oddHeader>&amp;C&amp;P</oddHeader>
      </headerFooter>
      <autoFilter ref="A5:O1507"/>
    </customSheetView>
    <customSheetView guid="{CF7D559D-0166-4787-B1BA-841D705C6F88}" scale="90" showPageBreaks="1" printArea="1" filter="1" showAutoFilter="1" view="pageBreakPreview">
      <selection activeCell="H1311" sqref="H1311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11"/>
      <headerFooter differentFirst="1">
        <oddHeader>&amp;C&amp;P</oddHeader>
      </headerFooter>
      <autoFilter ref="A10:O1647">
        <filterColumn colId="1">
          <filters>
            <filter val="915"/>
          </filters>
        </filterColumn>
      </autoFilter>
    </customSheetView>
    <customSheetView guid="{7893FC3C-95F8-4D88-923A-D8B3F348D1CF}" showPageBreaks="1" printArea="1" showAutoFilter="1" view="pageBreakPreview" topLeftCell="A718">
      <selection activeCell="I716" sqref="I716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12"/>
      <headerFooter differentFirst="1">
        <oddHeader>&amp;C&amp;P</oddHeader>
      </headerFooter>
      <autoFilter ref="A10:F1647"/>
    </customSheetView>
    <customSheetView guid="{A6AD508C-AEED-43C7-976B-DD33C28CD830}" showPageBreaks="1" printArea="1" filter="1" showAutoFilter="1" view="pageBreakPreview" topLeftCell="A1218">
      <selection activeCell="H1239" sqref="H1239"/>
      <pageMargins left="0.70866141732283472" right="0.70866141732283472" top="0.74803149606299213" bottom="0.74803149606299213" header="0.31496062992125984" footer="0.31496062992125984"/>
      <pageSetup paperSize="9" scale="58" fitToHeight="75" orientation="portrait" r:id="rId13"/>
      <headerFooter differentFirst="1">
        <oddHeader>&amp;C&amp;P</oddHeader>
      </headerFooter>
      <autoFilter ref="A10:F1649">
        <filterColumn colId="1">
          <filters>
            <filter val="913"/>
          </filters>
        </filterColumn>
      </autoFilter>
    </customSheetView>
  </customSheetViews>
  <mergeCells count="6">
    <mergeCell ref="D7:F7"/>
    <mergeCell ref="A8:F8"/>
    <mergeCell ref="D1:F1"/>
    <mergeCell ref="D2:F2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58" fitToHeight="75" orientation="portrait" r:id="rId14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customSheetViews>
    <customSheetView guid="{36DCE0BA-3DAA-4D16-9A6C-D74D85939BC4}">
      <pageMargins left="0.7" right="0.7" top="0.75" bottom="0.75" header="0.3" footer="0.3"/>
    </customSheetView>
    <customSheetView guid="{9AAB4CD6-CA02-4F89-A251-5612382981E7}">
      <pageMargins left="0.7" right="0.7" top="0.75" bottom="0.75" header="0.3" footer="0.3"/>
    </customSheetView>
    <customSheetView guid="{A1566C65-087F-49E5-974A-3CF262DD7D96}" showPageBreaks="1">
      <pageMargins left="0.7" right="0.7" top="0.75" bottom="0.75" header="0.3" footer="0.3"/>
      <pageSetup paperSize="9" orientation="portrait" r:id="rId1"/>
    </customSheetView>
    <customSheetView guid="{1CE5A45D-2312-4713-A5DC-016ED1C7E17E}">
      <pageMargins left="0.7" right="0.7" top="0.75" bottom="0.75" header="0.3" footer="0.3"/>
    </customSheetView>
    <customSheetView guid="{219F7EAD-D730-4D71-9324-77D1678FEC49}">
      <pageMargins left="0.7" right="0.7" top="0.75" bottom="0.75" header="0.3" footer="0.3"/>
    </customSheetView>
    <customSheetView guid="{1663216F-E4C5-4B4E-838D-07E5C6B7FB5D}">
      <pageMargins left="0.7" right="0.7" top="0.75" bottom="0.75" header="0.3" footer="0.3"/>
    </customSheetView>
    <customSheetView guid="{FE5A4646-1F82-478B-AB34-931BAD185684}">
      <pageMargins left="0.7" right="0.7" top="0.75" bottom="0.75" header="0.3" footer="0.3"/>
    </customSheetView>
    <customSheetView guid="{8641C9CE-CF0B-47B3-96C3-90D4839F015C}">
      <pageMargins left="0.7" right="0.7" top="0.75" bottom="0.75" header="0.3" footer="0.3"/>
    </customSheetView>
    <customSheetView guid="{74AAF578-B55E-4738-AF4B-ED62BC3A47E2}">
      <pageMargins left="0.7" right="0.7" top="0.75" bottom="0.75" header="0.3" footer="0.3"/>
    </customSheetView>
    <customSheetView guid="{52C1FB92-7975-4D4D-BD0E-F9FFDD4E1D2C}">
      <pageMargins left="0.7" right="0.7" top="0.75" bottom="0.75" header="0.3" footer="0.3"/>
    </customSheetView>
    <customSheetView guid="{23190D58-ED44-4680-8F8F-13684B3D6CBA}">
      <pageMargins left="0.7" right="0.7" top="0.75" bottom="0.75" header="0.3" footer="0.3"/>
    </customSheetView>
    <customSheetView guid="{11E16761-BEF9-439A-9F0A-F2673EE84029}">
      <pageMargins left="0.7" right="0.7" top="0.75" bottom="0.75" header="0.3" footer="0.3"/>
    </customSheetView>
    <customSheetView guid="{FB406FF6-6188-47D2-A2FA-428F2B7C916F}">
      <pageMargins left="0.7" right="0.7" top="0.75" bottom="0.75" header="0.3" footer="0.3"/>
    </customSheetView>
    <customSheetView guid="{E65B5D5F-CB7A-4100-BC5C-84BF501F4962}">
      <pageMargins left="0.7" right="0.7" top="0.75" bottom="0.75" header="0.3" footer="0.3"/>
    </customSheetView>
    <customSheetView guid="{CF7D559D-0166-4787-B1BA-841D705C6F88}">
      <pageMargins left="0.7" right="0.7" top="0.75" bottom="0.75" header="0.3" footer="0.3"/>
    </customSheetView>
    <customSheetView guid="{7893FC3C-95F8-4D88-923A-D8B3F348D1CF}">
      <pageMargins left="0.7" right="0.7" top="0.75" bottom="0.75" header="0.3" footer="0.3"/>
    </customSheetView>
    <customSheetView guid="{A6AD508C-AEED-43C7-976B-DD33C28CD830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внеочер. февраль</vt:lpstr>
      <vt:lpstr>Лист1</vt:lpstr>
      <vt:lpstr>' внеочер. февраль'!Заголовки_для_печати</vt:lpstr>
      <vt:lpstr>' внеочер. февраль'!Область_печати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Цыбулина</dc:creator>
  <cp:lastModifiedBy>Марина В. Цыбулина</cp:lastModifiedBy>
  <cp:lastPrinted>2018-02-06T01:20:06Z</cp:lastPrinted>
  <dcterms:created xsi:type="dcterms:W3CDTF">2016-04-27T00:03:54Z</dcterms:created>
  <dcterms:modified xsi:type="dcterms:W3CDTF">2018-02-06T23:59:13Z</dcterms:modified>
</cp:coreProperties>
</file>