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1550" yWindow="6630" windowWidth="12120" windowHeight="2730"/>
  </bookViews>
  <sheets>
    <sheet name=" внеочер. февраль" sheetId="1" r:id="rId1"/>
  </sheets>
  <definedNames>
    <definedName name="_xlnm._FilterDatabase" localSheetId="0" hidden="1">' внеочер. февраль'!$A$9:$O$1370</definedName>
    <definedName name="Z_00069311_E8B5_4148_97F0_532F3312A3C1_.wvu.FilterData" localSheetId="0" hidden="1">' внеочер. февраль'!$A$9:$E$1370</definedName>
    <definedName name="Z_00787748_DF34_4D9D_96B8_59CDFE2A11EC_.wvu.FilterData" localSheetId="0" hidden="1">' внеочер. февраль'!$A$9:$E$1370</definedName>
    <definedName name="Z_00B1FDBD_9974_49EF_B716_CBA28EC709A5_.wvu.FilterData" localSheetId="0" hidden="1">' внеочер. февраль'!$A$9:$G$1370</definedName>
    <definedName name="Z_00EC5F95_F687_40DD_A5AB_E9BE9E2F09F8_.wvu.FilterData" localSheetId="0" hidden="1">' внеочер. февраль'!$A$9:$F$1370</definedName>
    <definedName name="Z_00EC5F95_F687_40DD_A5AB_E9BE9E2F09F8_.wvu.PrintArea" localSheetId="0" hidden="1">' внеочер. февраль'!$A$6:$E$1370</definedName>
    <definedName name="Z_00EC5F95_F687_40DD_A5AB_E9BE9E2F09F8_.wvu.PrintTitles" localSheetId="0" hidden="1">' внеочер. февраль'!$8:$9</definedName>
    <definedName name="Z_00F0C304_A697_4E93_A4A5_C959624E7C64_.wvu.FilterData" localSheetId="0" hidden="1">' внеочер. февраль'!$A$9:$E$1370</definedName>
    <definedName name="Z_00F97EB0_65BD_45B2_88BA_1EB27BF58566_.wvu.FilterData" localSheetId="0" hidden="1">' внеочер. февраль'!$A$9:$E$1370</definedName>
    <definedName name="Z_020321F6_F7FF_4FC7_B12D_B602256B30DC_.wvu.FilterData" localSheetId="0" hidden="1">' внеочер. февраль'!$A$9:$E$1370</definedName>
    <definedName name="Z_020321F6_F7FF_4FC7_B12D_B602256B30DC_.wvu.PrintArea" localSheetId="0" hidden="1">' внеочер. февраль'!$A$6:$E$1370</definedName>
    <definedName name="Z_020321F6_F7FF_4FC7_B12D_B602256B30DC_.wvu.PrintTitles" localSheetId="0" hidden="1">' внеочер. февраль'!$8:$9</definedName>
    <definedName name="Z_0228B91A_025D_4058_A34E_3A9637EE4692_.wvu.FilterData" localSheetId="0" hidden="1">' внеочер. февраль'!$A$9:$E$1370</definedName>
    <definedName name="Z_02634356_D264_4FDA_88A7_42639BE5A2E7_.wvu.FilterData" localSheetId="0" hidden="1">' внеочер. февраль'!$A$9:$E$1370</definedName>
    <definedName name="Z_02720A3D_EFF6_4F31_89F8_8CC94803D857_.wvu.FilterData" localSheetId="0" hidden="1">' внеочер. февраль'!$A$9:$F$1370</definedName>
    <definedName name="Z_0289F42B_FD03_4B00_BEAD_2D1C94BA1D29_.wvu.FilterData" localSheetId="0" hidden="1">' внеочер. февраль'!$A$9:$F$1370</definedName>
    <definedName name="Z_0355C0A4_9302_4FEB_A63D_AED81E52A097_.wvu.FilterData" localSheetId="0" hidden="1">' внеочер. февраль'!$A$9:$E$1370</definedName>
    <definedName name="Z_0355C0A4_9302_4FEB_A63D_AED81E52A097_.wvu.PrintArea" localSheetId="0" hidden="1">' внеочер. февраль'!$A$6:$E$1370</definedName>
    <definedName name="Z_0355C0A4_9302_4FEB_A63D_AED81E52A097_.wvu.PrintTitles" localSheetId="0" hidden="1">' внеочер. февраль'!$8:$9</definedName>
    <definedName name="Z_03BE19E9_F964_4AFD_BBC6_BF63D02F1CC5_.wvu.FilterData" localSheetId="0" hidden="1">' внеочер. февраль'!$A$9:$E$1370</definedName>
    <definedName name="Z_03F3BD5E_F54D_443B_9975_56CEE830CED7_.wvu.FilterData" localSheetId="0" hidden="1">' внеочер. февраль'!$A$9:$E$1370</definedName>
    <definedName name="Z_03FC87B9_6AC3_41CD_AE75_B10EAFE8ABCC_.wvu.FilterData" localSheetId="0" hidden="1">' внеочер. февраль'!$A$10:$F$1370</definedName>
    <definedName name="Z_042A4FEC_2C82_4F94_90D8_FA0B545884A9_.wvu.FilterData" localSheetId="0" hidden="1">' внеочер. февраль'!$A$9:$E$1370</definedName>
    <definedName name="Z_05392A6C_04D4_4D36_B5FF_6A0D924EC243_.wvu.FilterData" localSheetId="0" hidden="1">' внеочер. февраль'!$A$8:$H$1370</definedName>
    <definedName name="Z_05871A2F_C00B_4C25_82C9_D6292334C5FE_.wvu.FilterData" localSheetId="0" hidden="1">' внеочер. февраль'!$A$9:$E$1370</definedName>
    <definedName name="Z_066DEE9C_0C70_4228_835D_2E94025F7DCE_.wvu.FilterData" localSheetId="0" hidden="1">' внеочер. февраль'!$A$9:$O$1370</definedName>
    <definedName name="Z_06A9D2B5_F98A_4AD4_BFB3_D2C061ED6EF8_.wvu.FilterData" localSheetId="0" hidden="1">' внеочер. февраль'!$A$9:$O$1370</definedName>
    <definedName name="Z_06FEF811_252F_4764_943C_9A94C4B96CB9_.wvu.FilterData" localSheetId="0" hidden="1">' внеочер. февраль'!$A$9:$G$1370</definedName>
    <definedName name="Z_0777C1F0_68CA_406D_AEAD_8EB7655E0D6B_.wvu.FilterData" localSheetId="0" hidden="1">' внеочер. февраль'!$A$9:$O$1370</definedName>
    <definedName name="Z_0777C1F0_68CA_406D_AEAD_8EB7655E0D6B_.wvu.PrintArea" localSheetId="0" hidden="1">' внеочер. февраль'!$A$1:$E$1370</definedName>
    <definedName name="Z_0777C1F0_68CA_406D_AEAD_8EB7655E0D6B_.wvu.PrintTitles" localSheetId="0" hidden="1">' внеочер. февраль'!$8:$9</definedName>
    <definedName name="Z_07A1A299_EA10_4FE3_91F4_BBE97FEDACF0_.wvu.FilterData" localSheetId="0" hidden="1">' внеочер. февраль'!$A$9:$F$1370</definedName>
    <definedName name="Z_07B0BC51_CF85_40FF_B072_0C8DB1DEA7A4_.wvu.FilterData" localSheetId="0" hidden="1">' внеочер. февраль'!$A$9:$E$1370</definedName>
    <definedName name="Z_0889F179_1B8B_495E_94DA_A1F139A4F177_.wvu.FilterData" localSheetId="0" hidden="1">' внеочер. февраль'!$A$8:$E$1370</definedName>
    <definedName name="Z_099D3563_B026_4DC5_96A3_3B0C18292335_.wvu.FilterData" localSheetId="0" hidden="1">' внеочер. февраль'!$A$9:$E$1370</definedName>
    <definedName name="Z_0A2C8525_93DD_40BC_B204_C327C35A71D5_.wvu.FilterData" localSheetId="0" hidden="1">' внеочер. февраль'!$A$9:$E$1370</definedName>
    <definedName name="Z_0B1D1CC1_E88A_4842_9D12_7B225FAB822A_.wvu.FilterData" localSheetId="0" hidden="1">' внеочер. февраль'!$A$9:$F$1370</definedName>
    <definedName name="Z_0BD3CE1B_84AF_4C53_90C9_B123D6628A76_.wvu.FilterData" localSheetId="0" hidden="1">' внеочер. февраль'!$A$9:$F$1370</definedName>
    <definedName name="Z_0C115389_513F_47BD_925D_A48728679A13_.wvu.FilterData" localSheetId="0" hidden="1">' внеочер. февраль'!$A$9:$N$9</definedName>
    <definedName name="Z_0C2F1076_E1E1_42A7_AD59_6C8517D61192_.wvu.FilterData" localSheetId="0" hidden="1">' внеочер. февраль'!$A$9:$E$1370</definedName>
    <definedName name="Z_0C60F583_CDCF_46AA_A442_EBEDD5844186_.wvu.FilterData" localSheetId="0" hidden="1">' внеочер. февраль'!$A$9:$E$1370</definedName>
    <definedName name="Z_0F1D4674_7117_42B2_BB59_C3F56BE3329E_.wvu.FilterData" localSheetId="0" hidden="1">' внеочер. февраль'!$A$9:$E$1370</definedName>
    <definedName name="Z_0F988B6C_A58C_4CB3_9C7C_9351DB860A21_.wvu.FilterData" localSheetId="0" hidden="1">' внеочер. февраль'!$A$8:$E$1370</definedName>
    <definedName name="Z_100C2CE2_A472_4EF2_ADD7_5F00D38C62C6_.wvu.FilterData" localSheetId="0" hidden="1">' внеочер. февраль'!$A$8:$H$1370</definedName>
    <definedName name="Z_10121B35_4301_4E26_A875_A9C2CC0C1202_.wvu.FilterData" localSheetId="0" hidden="1">' внеочер. февраль'!$A$9:$E$1370</definedName>
    <definedName name="Z_10E76895_077D_4AAF_8C5B_3E15569094AE_.wvu.FilterData" localSheetId="0" hidden="1">' внеочер. февраль'!$A$9:$E$1370</definedName>
    <definedName name="Z_11F32519_8259_4A48_9951_90B5027717C5_.wvu.FilterData" localSheetId="0" hidden="1">' внеочер. февраль'!$A$9:$E$1370</definedName>
    <definedName name="Z_12A1E4AD_DD1F_478A_B09A_4C156F128F8F_.wvu.FilterData" localSheetId="0" hidden="1">' внеочер. февраль'!$A$9:$E$1370</definedName>
    <definedName name="Z_132716B5_BCAE_4DED_B184_9AD7CDDD41FC_.wvu.FilterData" localSheetId="0" hidden="1">' внеочер. февраль'!$A$8:$H$1370</definedName>
    <definedName name="Z_13701BF4_C6C4_49D9_8314_3D45E5A4B604_.wvu.FilterData" localSheetId="0" hidden="1">' внеочер. февраль'!$A$9:$E$1370</definedName>
    <definedName name="Z_1496452D_10B6_492D_91FA_FF8728B4B60F_.wvu.FilterData" localSheetId="0" hidden="1">' внеочер. февраль'!$A$9:$E$1370</definedName>
    <definedName name="Z_150C5063_81AC_4B3F_A541_B5E8866AE8D2_.wvu.FilterData" localSheetId="0" hidden="1">' внеочер. февраль'!$A$9:$E$1370</definedName>
    <definedName name="Z_1518C2D8_1FE4_40D6_B8B2_1A731C11D7A9_.wvu.FilterData" localSheetId="0" hidden="1">' внеочер. февраль'!$A$8:$E$1370</definedName>
    <definedName name="Z_1569523D_8CE5_45C1_B4EB_EF0922406009_.wvu.FilterData" localSheetId="0" hidden="1">' внеочер. февраль'!$A$9:$E$1370</definedName>
    <definedName name="Z_1572B6E0_9B71_4DC8_881C_D3836F986316_.wvu.FilterData" localSheetId="0" hidden="1">' внеочер. февраль'!$A$9:$E$1370</definedName>
    <definedName name="Z_1598F1BF_4460_4F61_9886_268718AA4753_.wvu.FilterData" localSheetId="0" hidden="1">' внеочер. февраль'!$A$10:$E$1370</definedName>
    <definedName name="Z_17D8E5A0_46B3_41F5_B5D4_3053D69A4003_.wvu.FilterData" localSheetId="0" hidden="1">' внеочер. февраль'!$A$9:$F$1370</definedName>
    <definedName name="Z_184F037A_B1FD_49D0_AD70_5140E59B493B_.wvu.FilterData" localSheetId="0" hidden="1">' внеочер. февраль'!$A$9:$E$1370</definedName>
    <definedName name="Z_186BE168_B86E_45A8_AF25_D396986EA0D0_.wvu.FilterData" localSheetId="0" hidden="1">' внеочер. февраль'!$A$8:$H$1370</definedName>
    <definedName name="Z_195500E5_8E95_4304_A11E_4F57DF6E0588_.wvu.FilterData" localSheetId="0" hidden="1">' внеочер. февраль'!$A$9:$E$1370</definedName>
    <definedName name="Z_19B9BE7C_6E5B_48FE_A26A_552D3C91EF82_.wvu.FilterData" localSheetId="0" hidden="1">' внеочер. февраль'!$A$9:$E$1370</definedName>
    <definedName name="Z_19E46B29_C592_4B3F_A91F_B8732C713E57_.wvu.FilterData" localSheetId="0" hidden="1">' внеочер. февраль'!$A$9:$E$1370</definedName>
    <definedName name="Z_19E46B29_C592_4B3F_A91F_B8732C713E57_.wvu.PrintArea" localSheetId="0" hidden="1">' внеочер. февраль'!$A$5:$E$1370</definedName>
    <definedName name="Z_19E46B29_C592_4B3F_A91F_B8732C713E57_.wvu.PrintTitles" localSheetId="0" hidden="1">' внеочер. февраль'!$8:$9</definedName>
    <definedName name="Z_1A442299_174C_4EB6_A061_A8D20DCCF83E_.wvu.FilterData" localSheetId="0" hidden="1">' внеочер. февраль'!$A$9:$E$1370</definedName>
    <definedName name="Z_1B0E57BD_7374_4065_AA2F_554820C13944_.wvu.FilterData" localSheetId="0" hidden="1">' внеочер. февраль'!$A$9:$E$1370</definedName>
    <definedName name="Z_1BAFD5DE_548D_452E_8955_61A9C07069DD_.wvu.FilterData" localSheetId="0" hidden="1">' внеочер. февраль'!$A$9:$O$1370</definedName>
    <definedName name="Z_1C9FB8C7_8BB1_4750_831E_224A2A74FD48_.wvu.FilterData" localSheetId="0" hidden="1">' внеочер. февраль'!$A$8:$H$1370</definedName>
    <definedName name="Z_1D56A1DF_54BC_4926_9AD2_FA4228A5EF1A_.wvu.FilterData" localSheetId="0" hidden="1">' внеочер. февраль'!$A$10:$E$1370</definedName>
    <definedName name="Z_1D7016EA_FBF4_4C3A_8A13_D6EA58D20BBD_.wvu.FilterData" localSheetId="0" hidden="1">' внеочер. февраль'!$A$8:$O$1234</definedName>
    <definedName name="Z_1D796C99_8DB8_40B0_9E4E_65F1A900F416_.wvu.FilterData" localSheetId="0" hidden="1">' внеочер. февраль'!$A$9:$E$1370</definedName>
    <definedName name="Z_1D90D0BE_B1A5_44C8_BB2D_0A9D74527EC4_.wvu.FilterData" localSheetId="0" hidden="1">' внеочер. февраль'!$A$9:$E$1370</definedName>
    <definedName name="Z_1DAC8A3F_D908_4BFA_A2C6_B7B52D713A22_.wvu.FilterData" localSheetId="0" hidden="1">' внеочер. февраль'!$A$8:$E$1370</definedName>
    <definedName name="Z_1E0E053B_6DBC_489B_B523_C804B2FB88E2_.wvu.FilterData" localSheetId="0" hidden="1">' внеочер. февраль'!$A$8:$E$1370</definedName>
    <definedName name="Z_1E3D2EBA_F2CF_48F5_82AC_F00002FEA8F8_.wvu.FilterData" localSheetId="0" hidden="1">' внеочер. февраль'!$A$9:$E$1370</definedName>
    <definedName name="Z_1E90B80B_0338_4F7C_AC31_ACA7B2F01CC2_.wvu.FilterData" localSheetId="0" hidden="1">' внеочер. февраль'!$A$10:$E$1370</definedName>
    <definedName name="Z_1E93EECF_A1BC_43CB_B1CD_6A2A2A4666A7_.wvu.FilterData" localSheetId="0" hidden="1">' внеочер. февраль'!$A$9:$E$1370</definedName>
    <definedName name="Z_1E977AF4_45CE_4456_9162_5BF3FC24D34F_.wvu.FilterData" localSheetId="0" hidden="1">' внеочер. февраль'!$A$9:$E$1370</definedName>
    <definedName name="Z_1E977AF4_45CE_4456_9162_5BF3FC24D34F_.wvu.PrintArea" localSheetId="0" hidden="1">' внеочер. февраль'!$A$6:$E$1370</definedName>
    <definedName name="Z_1E977AF4_45CE_4456_9162_5BF3FC24D34F_.wvu.PrintTitles" localSheetId="0" hidden="1">' внеочер. февраль'!$8:$9</definedName>
    <definedName name="Z_2008F975_30FA_44EC_AF5A_E8D098A3FED0_.wvu.FilterData" localSheetId="0" hidden="1">' внеочер. февраль'!$A$9:$E$1370</definedName>
    <definedName name="Z_20398370_82AD_4858_863F_B39DDD7653B5_.wvu.FilterData" localSheetId="0" hidden="1">' внеочер. февраль'!$A$9:$E$1370</definedName>
    <definedName name="Z_203F3752_CDB5_4AAD_BEE7_E0151D8147D2_.wvu.FilterData" localSheetId="0" hidden="1">' внеочер. февраль'!$A$9:$E$1370</definedName>
    <definedName name="Z_20EA2268_3FAD_460C_A74C_B710EB8D4B86_.wvu.FilterData" localSheetId="0" hidden="1">' внеочер. февраль'!$A$9:$E$1370</definedName>
    <definedName name="Z_212B05F5_E9C4_4752_8622_C39CC9CEE7E9_.wvu.FilterData" localSheetId="0" hidden="1">' внеочер. февраль'!$A$9:$F$1370</definedName>
    <definedName name="Z_21A74EB1_25E9_4ABF_8961_D67FE2AD1FF2_.wvu.FilterData" localSheetId="0" hidden="1">' внеочер. февраль'!$A$9:$E$1370</definedName>
    <definedName name="Z_22E725AE_6872_49E5_B7B5_CAF4D96BD13A_.wvu.FilterData" localSheetId="0" hidden="1">' внеочер. февраль'!$A$9:$E$1370</definedName>
    <definedName name="Z_239BBC07_561D_43BA_8A49_B8BB7FC4CE69_.wvu.FilterData" localSheetId="0" hidden="1">' внеочер. февраль'!$A$8:$E$1370</definedName>
    <definedName name="Z_23C5F737_66CC_4138_BE2D_C38A83A72CDB_.wvu.FilterData" localSheetId="0" hidden="1">' внеочер. февраль'!$A$9:$E$1370</definedName>
    <definedName name="Z_23FEEC6F_A2BD_400C_A317_6A8C58A9F0C7_.wvu.FilterData" localSheetId="0" hidden="1">' внеочер. февраль'!$A$10:$F$1370</definedName>
    <definedName name="Z_2429E948_6D12_4757_945E_8389FF6D5D22_.wvu.FilterData" localSheetId="0" hidden="1">' внеочер. февраль'!$A$9:$E$1370</definedName>
    <definedName name="Z_24A714EE_FD69_453D_9FBA_6F5B6343C690_.wvu.FilterData" localSheetId="0" hidden="1">' внеочер. февраль'!$A$10:$F$1370</definedName>
    <definedName name="Z_25313F6C_0BD5_49DE_963E_79249C5612D6_.wvu.FilterData" localSheetId="0" hidden="1">' внеочер. февраль'!$A$9:$E$1370</definedName>
    <definedName name="Z_25313F6C_0BD5_49DE_963E_79249C5612D6_.wvu.PrintArea" localSheetId="0" hidden="1">' внеочер. февраль'!$A$6:$E$1370</definedName>
    <definedName name="Z_25313F6C_0BD5_49DE_963E_79249C5612D6_.wvu.PrintTitles" localSheetId="0" hidden="1">' внеочер. февраль'!$8:$9</definedName>
    <definedName name="Z_254E9B72_5390_4522_91DB_C20A9602E8B6_.wvu.FilterData" localSheetId="0" hidden="1">' внеочер. февраль'!$A$8:$O$1234</definedName>
    <definedName name="Z_26189390_3DD0_421D_A4B7_B5AF8B0AEAAA_.wvu.FilterData" localSheetId="0" hidden="1">' внеочер. февраль'!$A$9:$O$1370</definedName>
    <definedName name="Z_26628C9F_8CCE_4FCB_9E91_E0015668629E_.wvu.FilterData" localSheetId="0" hidden="1">' внеочер. февраль'!$A$9:$F$1370</definedName>
    <definedName name="Z_27548F1C_9E41_41D9_85A6_7A4148C7F69D_.wvu.FilterData" localSheetId="0" hidden="1">' внеочер. февраль'!$A$9:$O$1370</definedName>
    <definedName name="Z_279B1259_EEE0_4F11_B880_FEFE6D0014F8_.wvu.FilterData" localSheetId="0" hidden="1">' внеочер. февраль'!$A$8:$E$1370</definedName>
    <definedName name="Z_28A1FD03_A5C7_4A3B_AC03_95109F344E22_.wvu.FilterData" localSheetId="0" hidden="1">' внеочер. февраль'!$A$9:$O$1370</definedName>
    <definedName name="Z_28A1FD03_A5C7_4A3B_AC03_95109F344E22_.wvu.PrintArea" localSheetId="0" hidden="1">' внеочер. февраль'!$A$5:$E$1370</definedName>
    <definedName name="Z_28A1FD03_A5C7_4A3B_AC03_95109F344E22_.wvu.PrintTitles" localSheetId="0" hidden="1">' внеочер. февраль'!$8:$9</definedName>
    <definedName name="Z_2AC7BE88_A737_4212_8AA3_EA90C18F2756_.wvu.FilterData" localSheetId="0" hidden="1">' внеочер. февраль'!$A$9:$E$1370</definedName>
    <definedName name="Z_2BB3221E_1107_429B_AF46_A8219F180DEA_.wvu.FilterData" localSheetId="0" hidden="1">' внеочер. февраль'!$A$9:$F$1370</definedName>
    <definedName name="Z_2C05BDAD_7C0D_4E3D_8B06_A974D5FE3A79_.wvu.FilterData" localSheetId="0" hidden="1">' внеочер. февраль'!$A$9:$E$1370</definedName>
    <definedName name="Z_2D66A5A4_EEAE_4D35_BC49_9ACAA9857E85_.wvu.FilterData" localSheetId="0" hidden="1">' внеочер. февраль'!$A$9:$E$1370</definedName>
    <definedName name="Z_2E697A92_928B_414B_91E8_C79361D2BB6E_.wvu.FilterData" localSheetId="0" hidden="1">' внеочер. февраль'!$A$8:$O$1234</definedName>
    <definedName name="Z_2F525989_277C_4DEA_930A_D91A4F114F4D_.wvu.FilterData" localSheetId="0" hidden="1">' внеочер. февраль'!$A$9:$O$1370</definedName>
    <definedName name="Z_30DE2A77_ECBF_470B_A02D_6FD67D12ACB1_.wvu.FilterData" localSheetId="0" hidden="1">' внеочер. февраль'!$A$9:$E$1370</definedName>
    <definedName name="Z_316691C5_16D6_4A64_8235_E4F05F4B5328_.wvu.FilterData" localSheetId="0" hidden="1">' внеочер. февраль'!$A$8:$E$1370</definedName>
    <definedName name="Z_324E624A_C79B_4A80_A626_F168CE0D614D_.wvu.FilterData" localSheetId="0" hidden="1">' внеочер. февраль'!$A$8:$H$1370</definedName>
    <definedName name="Z_3267063C_FAE9_4515_941C_2963AF50DF13_.wvu.FilterData" localSheetId="0" hidden="1">' внеочер. февраль'!$A$9:$E$1370</definedName>
    <definedName name="Z_32722CD5_6D2A_4EF7_8A59_6725431405E0_.wvu.FilterData" localSheetId="0" hidden="1">' внеочер. февраль'!$A$9:$E$1370</definedName>
    <definedName name="Z_339701B2_B619_463E_9F59_C7A08CD1FEBB_.wvu.FilterData" localSheetId="0" hidden="1">' внеочер. февраль'!$A$9:$O$1370</definedName>
    <definedName name="Z_34016649_94FE_4E0E_AF25_AC25A4EBE4C3_.wvu.FilterData" localSheetId="0" hidden="1">' внеочер. февраль'!$A$9:$E$1370</definedName>
    <definedName name="Z_360658B6_A1F5_4046_8F0B_89C34B8E1E10_.wvu.FilterData" localSheetId="0" hidden="1">' внеочер. февраль'!$A$9:$E$1370</definedName>
    <definedName name="Z_3607013D_7186_43D3_B8F6_63E8BBE1CEE0_.wvu.FilterData" localSheetId="0" hidden="1">' внеочер. февраль'!$A$9:$E$1370</definedName>
    <definedName name="Z_3607013D_7186_43D3_B8F6_63E8BBE1CEE0_.wvu.PrintArea" localSheetId="0" hidden="1">' внеочер. февраль'!$A$6:$E$1370</definedName>
    <definedName name="Z_3607013D_7186_43D3_B8F6_63E8BBE1CEE0_.wvu.PrintTitles" localSheetId="0" hidden="1">' внеочер. февраль'!$8:$9</definedName>
    <definedName name="Z_36AE4889_243E_4F60_8E56_AC0ECE53F397_.wvu.FilterData" localSheetId="0" hidden="1">' внеочер. февраль'!$A$9:$E$1370</definedName>
    <definedName name="Z_36D0E0FD_26F7_4B12_A72F_CC4C7EB38EF5_.wvu.FilterData" localSheetId="0" hidden="1">' внеочер. февраль'!$A$8:$N$8</definedName>
    <definedName name="Z_375C041B_CC25_4522_A4BB_D4F9C2D52E7E_.wvu.FilterData" localSheetId="0" hidden="1">' внеочер. февраль'!$A$10:$F$1370</definedName>
    <definedName name="Z_376855A5_AFF6_481E_B156_9B19CA778CE6_.wvu.FilterData" localSheetId="0" hidden="1">' внеочер. февраль'!$A$9:$O$1370</definedName>
    <definedName name="Z_376855A5_AFF6_481E_B156_9B19CA778CE6_.wvu.PrintArea" localSheetId="0" hidden="1">' внеочер. февраль'!$A$1:$E$1370</definedName>
    <definedName name="Z_376855A5_AFF6_481E_B156_9B19CA778CE6_.wvu.PrintTitles" localSheetId="0" hidden="1">' внеочер. февраль'!$8:$9</definedName>
    <definedName name="Z_37D06F84_38F3_461C_BA91_DF25C9982FB9_.wvu.FilterData" localSheetId="0" hidden="1">' внеочер. февраль'!$A$9:$E$1370</definedName>
    <definedName name="Z_383CCEEA_37B5_4D6D_941B_AA96C9AD08E7_.wvu.FilterData" localSheetId="0" hidden="1">' внеочер. февраль'!$A$9:$O$1370</definedName>
    <definedName name="Z_3844611F_A645_416E_AE20_6005B6F503D7_.wvu.FilterData" localSheetId="0" hidden="1">' внеочер. февраль'!$A$9:$E$1370</definedName>
    <definedName name="Z_38919F32_B339_435F_AE26_FD816E6DA838_.wvu.FilterData" localSheetId="0" hidden="1">' внеочер. февраль'!$A$9:$E$1370</definedName>
    <definedName name="Z_394876B8_51E0_4735_B1F1_B81B4F39A604_.wvu.FilterData" localSheetId="0" hidden="1">' внеочер. февраль'!$A$9:$O$1370</definedName>
    <definedName name="Z_394876B8_51E0_4735_B1F1_B81B4F39A604_.wvu.PrintArea" localSheetId="0" hidden="1">' внеочер. февраль'!$A$5:$E$1370</definedName>
    <definedName name="Z_394876B8_51E0_4735_B1F1_B81B4F39A604_.wvu.PrintTitles" localSheetId="0" hidden="1">' внеочер. февраль'!$8:$9</definedName>
    <definedName name="Z_398D7CDB_D036_411D_81D9_55360A2845F2_.wvu.FilterData" localSheetId="0" hidden="1">' внеочер. февраль'!$A$8:$E$1370</definedName>
    <definedName name="Z_398D7CDB_D036_411D_81D9_55360A2845F2_.wvu.PrintArea" localSheetId="0" hidden="1">' внеочер. февраль'!$A$6:$E$1370</definedName>
    <definedName name="Z_398D7CDB_D036_411D_81D9_55360A2845F2_.wvu.PrintTitles" localSheetId="0" hidden="1">' внеочер. февраль'!$8:$9</definedName>
    <definedName name="Z_3A101A33_F5EE_47D1_A86F_CB3601C4BFC6_.wvu.FilterData" localSheetId="0" hidden="1">' внеочер. февраль'!$A$9:$E$1370</definedName>
    <definedName name="Z_3A209A9C_9850_44F7_9401_BA2E31E5BB39_.wvu.FilterData" localSheetId="0" hidden="1">' внеочер. февраль'!$A$9:$F$1370</definedName>
    <definedName name="Z_3A4EE503_C1F1_46E9_A10B_63BE3BC48487_.wvu.FilterData" localSheetId="0" hidden="1">' внеочер. февраль'!$A$10:$F$1370</definedName>
    <definedName name="Z_3A8B1166_385C_43C1_A406_CEB9E55ECF5C_.wvu.FilterData" localSheetId="0" hidden="1">' внеочер. февраль'!$A$9:$E$1370</definedName>
    <definedName name="Z_3AAAC2B4_14B8_4114_A767_33D481AE1E15_.wvu.FilterData" localSheetId="0" hidden="1">' внеочер. февраль'!$A$9:$O$1370</definedName>
    <definedName name="Z_3AAAC2B4_14B8_4114_A767_33D481AE1E15_.wvu.PrintArea" localSheetId="0" hidden="1">' внеочер. февраль'!$A$5:$E$1370</definedName>
    <definedName name="Z_3AAAC2B4_14B8_4114_A767_33D481AE1E15_.wvu.PrintTitles" localSheetId="0" hidden="1">' внеочер. февраль'!$8:$9</definedName>
    <definedName name="Z_3AB314C1_B000_4998_930D_0875AEE3942F_.wvu.FilterData" localSheetId="0" hidden="1">' внеочер. февраль'!$A$9:$E$1370</definedName>
    <definedName name="Z_3B684C44_17D4_4451_8B68_44BA7CB9CB37_.wvu.FilterData" localSheetId="0" hidden="1">' внеочер. февраль'!$A$8:$H$1370</definedName>
    <definedName name="Z_3C26C99C_BE8F_4203_9CFF_E3DB49EBB6BF_.wvu.FilterData" localSheetId="0" hidden="1">' внеочер. февраль'!$A$8:$E$1370</definedName>
    <definedName name="Z_3C6631E7_677C_4CDD_B90D_024604DF2A99_.wvu.FilterData" localSheetId="0" hidden="1">' внеочер. февраль'!$A$9:$E$1370</definedName>
    <definedName name="Z_3C691AF4_39B4_4457_9E1D_FD28243E7DF9_.wvu.FilterData" localSheetId="0" hidden="1">' внеочер. февраль'!$A$8:$F$1370</definedName>
    <definedName name="Z_3D23D8D9_1B18_4079_AC54_998BC40F49E3_.wvu.FilterData" localSheetId="0" hidden="1">' внеочер. февраль'!$A$9:$E$1370</definedName>
    <definedName name="Z_3DB3FE60_CD44_4DDC_AF03_E1E73F4D3ECD_.wvu.FilterData" localSheetId="0" hidden="1">' внеочер. февраль'!$A$9:$E$1370</definedName>
    <definedName name="Z_3DFCEA7C_2B45_4649_9620_767C4A70CF42_.wvu.FilterData" localSheetId="0" hidden="1">' внеочер. февраль'!$A$9:$F$1370</definedName>
    <definedName name="Z_3E1D52C5_C4F7_441A_9B7D_77012DD3914F_.wvu.FilterData" localSheetId="0" hidden="1">' внеочер. февраль'!$A$9:$E$1370</definedName>
    <definedName name="Z_3E1D52C5_C4F7_441A_9B7D_77012DD3914F_.wvu.PrintArea" localSheetId="0" hidden="1">' внеочер. февраль'!$A$6:$E$1370</definedName>
    <definedName name="Z_3E1D52C5_C4F7_441A_9B7D_77012DD3914F_.wvu.PrintTitles" localSheetId="0" hidden="1">' внеочер. февраль'!$8:$9</definedName>
    <definedName name="Z_3E88125E_E114_4E25_9C6A_F6C824A308DB_.wvu.FilterData" localSheetId="0" hidden="1">' внеочер. февраль'!$A$9:$E$1370</definedName>
    <definedName name="Z_3EA83191_45B2_4C16_B0C5_2525211CB714_.wvu.FilterData" localSheetId="0" hidden="1">' внеочер. февраль'!$A$9:$F$1370</definedName>
    <definedName name="Z_3F873BD6_8E80_4AD6_A218_DA8E1DA4D90C_.wvu.FilterData" localSheetId="0" hidden="1">' внеочер. февраль'!$A$10:$F$1370</definedName>
    <definedName name="Z_3FE56AE4_2573_4E60_A107_3D3F9B6B7A8A_.wvu.FilterData" localSheetId="0" hidden="1">' внеочер. февраль'!$A$9:$E$1370</definedName>
    <definedName name="Z_3FE81BD2_B88F_4CC3_8281_B0B77BB2E660_.wvu.FilterData" localSheetId="0" hidden="1">' внеочер. февраль'!$A$8:$E$1370</definedName>
    <definedName name="Z_3FE81BD2_B88F_4CC3_8281_B0B77BB2E660_.wvu.PrintArea" localSheetId="0" hidden="1">' внеочер. февраль'!$A$6:$E$1369</definedName>
    <definedName name="Z_3FE81BD2_B88F_4CC3_8281_B0B77BB2E660_.wvu.PrintTitles" localSheetId="0" hidden="1">' внеочер. февраль'!$8:$9</definedName>
    <definedName name="Z_40EA2F30_755A_4D26_951B_143929C7010A_.wvu.FilterData" localSheetId="0" hidden="1">' внеочер. февраль'!$A$8:$H$1370</definedName>
    <definedName name="Z_40F5B736_4C30_4554_9722_0A9995C19FFC_.wvu.FilterData" localSheetId="0" hidden="1">' внеочер. февраль'!$A$9:$E$1370</definedName>
    <definedName name="Z_41DCF172_C7F0_48CC_8614_94A18D85725C_.wvu.FilterData" localSheetId="0" hidden="1">' внеочер. февраль'!$A$9:$E$1370</definedName>
    <definedName name="Z_42265C9A_0E06_4E7B_BDA5_6AD44246CBB3_.wvu.FilterData" localSheetId="0" hidden="1">' внеочер. февраль'!$A$9:$O$1370</definedName>
    <definedName name="Z_423CAE96_F193_44E4_AF67_6956A04F6CAB_.wvu.FilterData" localSheetId="0" hidden="1">' внеочер. февраль'!$A$9:$E$1370</definedName>
    <definedName name="Z_4294876D_63DF_465C_A473_8BA2BDBF5680_.wvu.FilterData" localSheetId="0" hidden="1">' внеочер. февраль'!$A$9:$F$1370</definedName>
    <definedName name="Z_4348C3F9_6F8C_4CC7_91BD_20639549AA14_.wvu.FilterData" localSheetId="0" hidden="1">' внеочер. февраль'!$A$9:$E$1370</definedName>
    <definedName name="Z_437EE512_E0E2_4CFC_83DE_A20AA94977F4_.wvu.FilterData" localSheetId="0" hidden="1">' внеочер. февраль'!$A$9:$E$1370</definedName>
    <definedName name="Z_43A25CB9_7A95_40AC_82F9_BE05138F5CA7_.wvu.FilterData" localSheetId="0" hidden="1">' внеочер. февраль'!$A$9:$E$1370</definedName>
    <definedName name="Z_44AF5E05_4DB6_42E1_B820_28C369B82478_.wvu.FilterData" localSheetId="0" hidden="1">' внеочер. февраль'!$A$8:$H$1370</definedName>
    <definedName name="Z_462583EB_204D_4B64_B070_6E451556EAA3_.wvu.FilterData" localSheetId="0" hidden="1">' внеочер. февраль'!$A$9:$N$9</definedName>
    <definedName name="Z_462E5251_BB7E_419E_94B7_64DA93CC1E3A_.wvu.FilterData" localSheetId="0" hidden="1">' внеочер. февраль'!$A$9:$E$1370</definedName>
    <definedName name="Z_46BCF871_0C79_44F4_87DB_98BC79B47DC2_.wvu.FilterData" localSheetId="0" hidden="1">' внеочер. февраль'!$A$9:$E$1370</definedName>
    <definedName name="Z_4793AA67_2530_4FED_B7B1_0892EF73B368_.wvu.FilterData" localSheetId="0" hidden="1">' внеочер. февраль'!$A$8:$H$1370</definedName>
    <definedName name="Z_47A38A9F_7195_456E_BFC7_17B150F1C376_.wvu.FilterData" localSheetId="0" hidden="1">' внеочер. февраль'!$A$9:$G$1370</definedName>
    <definedName name="Z_47C1F9EB_F0AA_4241_BA10_A0A68EFF60C8_.wvu.FilterData" localSheetId="0" hidden="1">' внеочер. февраль'!$A$9:$G$1370</definedName>
    <definedName name="Z_47DE0F1E_F56E_40B1_9BCF_BDB8420FF618_.wvu.FilterData" localSheetId="0" hidden="1">' внеочер. февраль'!$A$9:$E$1370</definedName>
    <definedName name="Z_480D276F_127F_40BD_B01B_104D609ED821_.wvu.FilterData" localSheetId="0" hidden="1">' внеочер. февраль'!$A$8:$E$1370</definedName>
    <definedName name="Z_49CD4A35_4840_471E_9A91_C3D2D5CADE59_.wvu.FilterData" localSheetId="0" hidden="1">' внеочер. февраль'!$A$9:$N$1370</definedName>
    <definedName name="Z_4A1F5ECE_A2E8_47FF_88DA_552D55ED08F8_.wvu.FilterData" localSheetId="0" hidden="1">' внеочер. февраль'!$A$8:$O$1234</definedName>
    <definedName name="Z_4A565E86_C2EA_4DD9_8480_0874B926C285_.wvu.FilterData" localSheetId="0" hidden="1">' внеочер. февраль'!$A$10:$F$1370</definedName>
    <definedName name="Z_4A7C922A_BB91_4AAA_B254_A806A9C7F45D_.wvu.FilterData" localSheetId="0" hidden="1">' внеочер. февраль'!$A$9:$E$1370</definedName>
    <definedName name="Z_4AD91AF5_BEFA_44BB_973E_9651EB621C5C_.wvu.FilterData" localSheetId="0" hidden="1">' внеочер. февраль'!$A$8:$H$1370</definedName>
    <definedName name="Z_4C10944E_7236_43E9_B1B2_013AD25201D2_.wvu.FilterData" localSheetId="0" hidden="1">' внеочер. февраль'!$A$8:$E$1370</definedName>
    <definedName name="Z_4C69024D_D13E_48D1_BD54_A5A50ED57182_.wvu.FilterData" localSheetId="0" hidden="1">' внеочер. февраль'!$A$9:$O$1370</definedName>
    <definedName name="Z_4C972257_908E_4BF6_9648_0A8F617A3B93_.wvu.FilterData" localSheetId="0" hidden="1">' внеочер. февраль'!$A$9:$O$1370</definedName>
    <definedName name="Z_4D09D4DA_E834_4298_AE1F_970C75FE32F1_.wvu.FilterData" localSheetId="0" hidden="1">' внеочер. февраль'!$A$8:$E$1370</definedName>
    <definedName name="Z_4D0FFF10_F473_41A4_80A0_261EA941126D_.wvu.FilterData" localSheetId="0" hidden="1">' внеочер. февраль'!$A$8:$E$1370</definedName>
    <definedName name="Z_4DD03C10_0644_4446_9D66_444E2AA38B79_.wvu.FilterData" localSheetId="0" hidden="1">' внеочер. февраль'!$A$9:$E$1370</definedName>
    <definedName name="Z_4FB8AB86_41D4_4B4B_87AE_0A2A16D38B33_.wvu.FilterData" localSheetId="0" hidden="1">' внеочер. февраль'!$A$8:$O$1234</definedName>
    <definedName name="Z_50311EA0_6FBB_4CF6_9785_E7C823EAB855_.wvu.FilterData" localSheetId="0" hidden="1">' внеочер. февраль'!$A$9:$E$1370</definedName>
    <definedName name="Z_5067E484_41B8_4C53_A152_591C70D8C798_.wvu.FilterData" localSheetId="0" hidden="1">' внеочер. февраль'!$A$10:$E$1370</definedName>
    <definedName name="Z_50ACE572_794D_4E6D_AE7E_2727B1E4136E_.wvu.FilterData" localSheetId="0" hidden="1">' внеочер. февраль'!$A$8:$E$1370</definedName>
    <definedName name="Z_50EB7D2C_E342_419E_BD95_F3B74AAD720F_.wvu.FilterData" localSheetId="0" hidden="1">' внеочер. февраль'!$A$9:$E$1370</definedName>
    <definedName name="Z_5186EB97_B1B4_4644_B260_2514BBA9BDFD_.wvu.FilterData" localSheetId="0" hidden="1">' внеочер. февраль'!$A$9:$F$1370</definedName>
    <definedName name="Z_51951D9A_8665_496D_BDAA_C4C6EB742B29_.wvu.FilterData" localSheetId="0" hidden="1">' внеочер. февраль'!$A$8:$F$8</definedName>
    <definedName name="Z_51CEFBFE_94A9_4A51_A3F1_C55BDA20A8E8_.wvu.FilterData" localSheetId="0" hidden="1">' внеочер. февраль'!$A$9:$O$1370</definedName>
    <definedName name="Z_51E4D1A1_A6D2_4AC1_88E5_E75DC83EB9C6_.wvu.FilterData" localSheetId="0" hidden="1">' внеочер. февраль'!$A$9:$E$1370</definedName>
    <definedName name="Z_525C88B4_2C7C_4999_82E6_485DA38EE88A_.wvu.FilterData" localSheetId="0" hidden="1">' внеочер. февраль'!$A$9:$O$1370</definedName>
    <definedName name="Z_53144A88_FC67_485B_B417_D68EB36DF0AB_.wvu.FilterData" localSheetId="0" hidden="1">' внеочер. февраль'!$A$9:$E$1370</definedName>
    <definedName name="Z_533FCD2A_DF3B_4E26_A237_150C563109B5_.wvu.FilterData" localSheetId="0" hidden="1">' внеочер. февраль'!$A$9:$E$1370</definedName>
    <definedName name="Z_549EEC76_11E7_4A28_83CA_8E06F538A84B_.wvu.FilterData" localSheetId="0" hidden="1">' внеочер. февраль'!$A$9:$E$1370</definedName>
    <definedName name="Z_5549F7DB_8205_4199_91CF_E55AB67E25D6_.wvu.FilterData" localSheetId="0" hidden="1">' внеочер. февраль'!$A$10:$F$1370</definedName>
    <definedName name="Z_565062A6_7E2E_43AC_88F5_C904533882C0_.wvu.FilterData" localSheetId="0" hidden="1">' внеочер. февраль'!$A$9:$E$1370</definedName>
    <definedName name="Z_56F99DB7_A00D_4383_A6CB_3F2BA185E194_.wvu.FilterData" localSheetId="0" hidden="1">' внеочер. февраль'!$A$9:$G$1370</definedName>
    <definedName name="Z_572EADED_DBBC_4254_AC02_D29877DB8B8A_.wvu.FilterData" localSheetId="0" hidden="1">' внеочер. февраль'!$A$9:$E$1370</definedName>
    <definedName name="Z_58402B0A_B572_45B0_8B10_1FEFB57D097F_.wvu.FilterData" localSheetId="0" hidden="1">' внеочер. февраль'!$A$10:$E$1370</definedName>
    <definedName name="Z_58464BB2_4F82_4B4A_A26D_6F0E24E55D71_.wvu.FilterData" localSheetId="0" hidden="1">' внеочер. февраль'!$A$9:$E$1370</definedName>
    <definedName name="Z_584C2B5C_2ADE_45B7_910F_13722A4A9E69_.wvu.FilterData" localSheetId="0" hidden="1">' внеочер. февраль'!$A$9:$E$1370</definedName>
    <definedName name="Z_58880B11_E98A_4DAD_9898_681844975DB0_.wvu.FilterData" localSheetId="0" hidden="1">' внеочер. февраль'!$A$9:$E$1370</definedName>
    <definedName name="Z_58F66D72_4706_4281_B78F_A715280A9B3E_.wvu.FilterData" localSheetId="0" hidden="1">' внеочер. февраль'!$A$9:$E$1370</definedName>
    <definedName name="Z_58FC2016_B79A_402F_A0C6_470A195C168E_.wvu.FilterData" localSheetId="0" hidden="1">' внеочер. февраль'!$A$9:$F$1370</definedName>
    <definedName name="Z_597AC036_0E81_4C15_8A3A_E492127C02FF_.wvu.FilterData" localSheetId="0" hidden="1">' внеочер. февраль'!$A$10:$E$1370</definedName>
    <definedName name="Z_5A0CA78B_DA33_4278_BD2E_00D4612CCFF2_.wvu.FilterData" localSheetId="0" hidden="1">' внеочер. февраль'!$A$9:$E$1370</definedName>
    <definedName name="Z_5A239169_B52A_4853_8314_85943C7A9061_.wvu.FilterData" localSheetId="0" hidden="1">' внеочер. февраль'!$A$9:$E$1370</definedName>
    <definedName name="Z_5A3406DD_5C52_40BA_881E_C921A5896297_.wvu.FilterData" localSheetId="0" hidden="1">' внеочер. февраль'!$A$9:$E$1370</definedName>
    <definedName name="Z_5AB5D5F1_0FB2_4330_9EAB_A97C84CF27F0_.wvu.FilterData" localSheetId="0" hidden="1">' внеочер. февраль'!$A$9:$E$1370</definedName>
    <definedName name="Z_5ABC3C41_730C_4E3C_8669_2EB774BDE3FD_.wvu.FilterData" localSheetId="0" hidden="1">' внеочер. февраль'!$A$8:$H$1370</definedName>
    <definedName name="Z_5ACEBDE0_1587_4C05_A342_397354581E7C_.wvu.FilterData" localSheetId="0" hidden="1">' внеочер. февраль'!$A$9:$E$1370</definedName>
    <definedName name="Z_5AEDAAC0_A4C7_492F_98A9_8D6E89B4B4EA_.wvu.FilterData" localSheetId="0" hidden="1">' внеочер. февраль'!$A$8:$H$1370</definedName>
    <definedName name="Z_5AF524BC_9DC9_4606_A9DC_6E879F3A98AD_.wvu.FilterData" localSheetId="0" hidden="1">' внеочер. февраль'!$A$9:$E$1370</definedName>
    <definedName name="Z_5C6DB8F5_6BC2_4C52_A637_DE63F7F0F7E5_.wvu.FilterData" localSheetId="0" hidden="1">' внеочер. февраль'!$A$9:$E$1370</definedName>
    <definedName name="Z_5CABA4B5_046F_4E0F_9EF0_AB9DF822581B_.wvu.FilterData" localSheetId="0" hidden="1">' внеочер. февраль'!$A$10:$E$1370</definedName>
    <definedName name="Z_5CC8ABDC_E0BA_494C_8CC2_B5E3B6742213_.wvu.FilterData" localSheetId="0" hidden="1">' внеочер. февраль'!$A$9:$E$1370</definedName>
    <definedName name="Z_5D8352DC_7AC9_462E_8E47_5D4E34C54AC6_.wvu.FilterData" localSheetId="0" hidden="1">' внеочер. февраль'!$A$9:$E$1370</definedName>
    <definedName name="Z_5DE60DD4_FF6F_4EF0_A373_4EE8C9261C50_.wvu.FilterData" localSheetId="0" hidden="1">' внеочер. февраль'!$A$9:$E$1370</definedName>
    <definedName name="Z_5E586A3D_8BA4_41AA_8F49_A39301D4A5DD_.wvu.FilterData" localSheetId="0" hidden="1">' внеочер. февраль'!$A$9:$E$1370</definedName>
    <definedName name="Z_5E88A631_383F_45C2_93CF_7183F180A680_.wvu.FilterData" localSheetId="0" hidden="1">' внеочер. февраль'!$A$9:$G$1370</definedName>
    <definedName name="Z_5EC2F69D_D0CB_4DB4_B305_FE0A75F8C2B5_.wvu.FilterData" localSheetId="0" hidden="1">' внеочер. февраль'!$A$9:$F$1370</definedName>
    <definedName name="Z_5EF3AFAE_5DFF_4703_BB8A_DBB55C2662FD_.wvu.FilterData" localSheetId="0" hidden="1">' внеочер. февраль'!$A$9:$E$1370</definedName>
    <definedName name="Z_5F1D54B7_A525_46DC_BA95_B39E9910824E_.wvu.FilterData" localSheetId="0" hidden="1">' внеочер. февраль'!$A$9:$E$1370</definedName>
    <definedName name="Z_6167AE8D_7C7B_46F6_8FC3_7BCC2DC67473_.wvu.FilterData" localSheetId="0" hidden="1">' внеочер. февраль'!$A$9:$F$1370</definedName>
    <definedName name="Z_616D5109_D9DF_435C_B605_DBCE73D8425B_.wvu.FilterData" localSheetId="0" hidden="1">' внеочер. февраль'!$A$8:$E$1370</definedName>
    <definedName name="Z_61E08207_2331_451A_A1F3_FC70E2B37DFF_.wvu.FilterData" localSheetId="0" hidden="1">' внеочер. февраль'!$A$8:$H$1370</definedName>
    <definedName name="Z_61EDEC79_EC19_464E_9B50_68DF5A0DB6FB_.wvu.FilterData" localSheetId="0" hidden="1">' внеочер. февраль'!$A$9:$E$1370</definedName>
    <definedName name="Z_627D57AB_BD54_450F_8085_CAE8C92E03BD_.wvu.FilterData" localSheetId="0" hidden="1">' внеочер. февраль'!$A$10:$E$1370</definedName>
    <definedName name="Z_62A1E9EB_395C_4BF7_9CCD_16E8B553BC4E_.wvu.FilterData" localSheetId="0" hidden="1">' внеочер. февраль'!$A$9:$E$1370</definedName>
    <definedName name="Z_62D28EDD_11AF_4935_98A8_601CDC1441C8_.wvu.FilterData" localSheetId="0" hidden="1">' внеочер. февраль'!$A$10:$F$1370</definedName>
    <definedName name="Z_634F66C0_E913_478E_9A9B_C1035A7977EC_.wvu.FilterData" localSheetId="0" hidden="1">' внеочер. февраль'!$A$10:$E$1370</definedName>
    <definedName name="Z_63616344_261D_408F_9E99_1592112E6B72_.wvu.FilterData" localSheetId="0" hidden="1">' внеочер. февраль'!$A$9:$E$1370</definedName>
    <definedName name="Z_63E4FF85_50EC_48E5_9FA9_53C2407D1F17_.wvu.FilterData" localSheetId="0" hidden="1">' внеочер. февраль'!$A$8:$O$1234</definedName>
    <definedName name="Z_64237E6D_4143_47A2_B4F0_FFE51C0A17EA_.wvu.FilterData" localSheetId="0" hidden="1">' внеочер. февраль'!$A$9:$E$1370</definedName>
    <definedName name="Z_643207D3_503B_4FE8_BA5C_7023353CC682_.wvu.FilterData" localSheetId="0" hidden="1">' внеочер. февраль'!$A$9:$F$1370</definedName>
    <definedName name="Z_64AF8653_AFDA_4F3B_B66A_86C466F2EABE_.wvu.FilterData" localSheetId="0" hidden="1">' внеочер. февраль'!$A$8:$E$1370</definedName>
    <definedName name="Z_650CEABC_37F9_472D_A5CD_67DA6B4BA6CD_.wvu.FilterData" localSheetId="0" hidden="1">' внеочер. февраль'!$A$9:$O$1370</definedName>
    <definedName name="Z_6529600A_A594_4E25_A45B_538E079D3B98_.wvu.FilterData" localSheetId="0" hidden="1">' внеочер. февраль'!$A$9:$E$1370</definedName>
    <definedName name="Z_665EC2D9_399A_4E41_B4F1_63A43857DC3F_.wvu.FilterData" localSheetId="0" hidden="1">' внеочер. февраль'!$A$9:$E$1370</definedName>
    <definedName name="Z_6674DEA8_0067_4872_85E0_4176DC974724_.wvu.FilterData" localSheetId="0" hidden="1">' внеочер. февраль'!$A$9:$O$1370</definedName>
    <definedName name="Z_66B227EF_0EFB_44CF_945A_CA3C83AA3C2E_.wvu.FilterData" localSheetId="0" hidden="1">' внеочер. февраль'!$A$9:$E$1370</definedName>
    <definedName name="Z_66E3FD95_1A54_48E4_A172_B6C46668893D_.wvu.FilterData" localSheetId="0" hidden="1">' внеочер. февраль'!$A$9:$E$1370</definedName>
    <definedName name="Z_670645D1_A903_4E13_B02F_8D1CC620CFA6_.wvu.FilterData" localSheetId="0" hidden="1">' внеочер. февраль'!$A$9:$E$1370</definedName>
    <definedName name="Z_67787B69_14E3_4CF1_B231_7EFCBBA1CF6E_.wvu.FilterData" localSheetId="0" hidden="1">' внеочер. февраль'!$A$9:$O$1370</definedName>
    <definedName name="Z_67EB3C21_4ACE_4351_A328_1E871CDFA108_.wvu.FilterData" localSheetId="0" hidden="1">' внеочер. февраль'!$A$9:$E$1370</definedName>
    <definedName name="Z_682A2840_FD1D_4946_A4B5_E26CC969BA32_.wvu.FilterData" localSheetId="0" hidden="1">' внеочер. февраль'!$A$8:$H$1370</definedName>
    <definedName name="Z_68360E65_D125_419E_9248_83110120F3D6_.wvu.FilterData" localSheetId="0" hidden="1">' внеочер. февраль'!$A$9:$F$1370</definedName>
    <definedName name="Z_68E7ED29_C2D8_4CE7_BE22_B44C10CEBB6D_.wvu.FilterData" localSheetId="0" hidden="1">' внеочер. февраль'!$A$9:$E$1370</definedName>
    <definedName name="Z_69092332_E42B_4053_A26C_41E1FA318716_.wvu.FilterData" localSheetId="0" hidden="1">' внеочер. февраль'!$A$9:$E$1370</definedName>
    <definedName name="Z_690E32AD_9D34_4EFA_A522_7CE39AD209AE_.wvu.FilterData" localSheetId="0" hidden="1">' внеочер. февраль'!$A$9:$F$1370</definedName>
    <definedName name="Z_6920E32B_7FDB_44BB_8347_31F429DB6E4C_.wvu.FilterData" localSheetId="0" hidden="1">' внеочер. февраль'!$A$9:$E$1370</definedName>
    <definedName name="Z_69CE08D1_1F3A_4020_9B38_E9391DF96BCE_.wvu.FilterData" localSheetId="0" hidden="1">' внеочер. февраль'!$A$8:$H$1370</definedName>
    <definedName name="Z_6AB2AD31_8C8C_4DB5_B430_804391646D31_.wvu.FilterData" localSheetId="0" hidden="1">' внеочер. февраль'!$A$9:$E$1370</definedName>
    <definedName name="Z_6AFDF5CE_E466_449F_AA73_945BA97A9F60_.wvu.FilterData" localSheetId="0" hidden="1">' внеочер. февраль'!$A$8:$E$1370</definedName>
    <definedName name="Z_6B64888D_392E_40E1_9D10_82EF4F8EC258_.wvu.FilterData" localSheetId="0" hidden="1">' внеочер. февраль'!$A$10:$F$1370</definedName>
    <definedName name="Z_6BB983F6_7112_4267_990E_9B4CCD1862B5_.wvu.FilterData" localSheetId="0" hidden="1">' внеочер. февраль'!$A$9:$E$1370</definedName>
    <definedName name="Z_6D949BDB_2D1C_495A_A45D_BA0421C9B364_.wvu.FilterData" localSheetId="0" hidden="1">' внеочер. февраль'!$A$9:$E$1370</definedName>
    <definedName name="Z_6E144372_CED1_44D7_9CBF_E4B6E1FF2358_.wvu.FilterData" localSheetId="0" hidden="1">' внеочер. февраль'!$A$8:$E$1370</definedName>
    <definedName name="Z_6E2CDBFD_E7AE_4C17_8BE0_B849DBCB2977_.wvu.FilterData" localSheetId="0" hidden="1">' внеочер. февраль'!$A$8:$H$1370</definedName>
    <definedName name="Z_6E75B0DA_1FAD_4BC5_B94A_F7CD1A8EFC4B_.wvu.FilterData" localSheetId="0" hidden="1">' внеочер. февраль'!$A$9:$E$1370</definedName>
    <definedName name="Z_6EC0F212_2A01_46EE_A07D_FB2B5DD892E2_.wvu.FilterData" localSheetId="0" hidden="1">' внеочер. февраль'!$A$8:$E$1370</definedName>
    <definedName name="Z_7057794D_3F40_4670_ABE8_762FF85A58B4_.wvu.FilterData" localSheetId="0" hidden="1">' внеочер. февраль'!$A$8:$E$1370</definedName>
    <definedName name="Z_7105D4BD_3180_41EF_BB22_05C4FEA96FEF_.wvu.FilterData" localSheetId="0" hidden="1">' внеочер. февраль'!$A$9:$F$1370</definedName>
    <definedName name="Z_7250C510_5105_4F6C_AB07_646423EA3CB2_.wvu.FilterData" localSheetId="0" hidden="1">' внеочер. февраль'!$A$9:$E$1370</definedName>
    <definedName name="Z_732CAF31_0193_4966_9EB1_32ACFF5B6B37_.wvu.FilterData" localSheetId="0" hidden="1">' внеочер. февраль'!$A$9:$E$1370</definedName>
    <definedName name="Z_74C13764_530B_443D_85CE_D26B13EE3CF7_.wvu.FilterData" localSheetId="0" hidden="1">' внеочер. февраль'!$A$9:$E$1370</definedName>
    <definedName name="Z_75429DDA_5C94_464C_ABAA_140A5494CCF2_.wvu.FilterData" localSheetId="0" hidden="1">' внеочер. февраль'!$A$8:$O$1234</definedName>
    <definedName name="Z_754CCDFC_3AD7_492E_A0D4_7AAF0D332976_.wvu.FilterData" localSheetId="0" hidden="1">' внеочер. февраль'!$A$9:$E$1370</definedName>
    <definedName name="Z_759B3695_EE9F_4D99_A51F_A36B8C3939C3_.wvu.FilterData" localSheetId="0" hidden="1">' внеочер. февраль'!$A$9:$F$1370</definedName>
    <definedName name="Z_75BBA9B5_D598_453B_8B40_2549267275C5_.wvu.FilterData" localSheetId="0" hidden="1">' внеочер. февраль'!$A$8:$F$1370</definedName>
    <definedName name="Z_75BF16E1_E9DC_40EE_9254_10CB8B8A13C5_.wvu.FilterData" localSheetId="0" hidden="1">' внеочер. февраль'!$A$9:$O$1370</definedName>
    <definedName name="Z_7639450A_D316_4C3D_89E3_9A9CE64F5822_.wvu.FilterData" localSheetId="0" hidden="1">' внеочер. февраль'!$A$9:$F$1370</definedName>
    <definedName name="Z_76DA0934_094B_4E57_AB12_DC56A1829BFE_.wvu.FilterData" localSheetId="0" hidden="1">' внеочер. февраль'!$A$9:$O$1370</definedName>
    <definedName name="Z_76DA0934_094B_4E57_AB12_DC56A1829BFE_.wvu.PrintArea" localSheetId="0" hidden="1">' внеочер. февраль'!$A$5:$E$1370</definedName>
    <definedName name="Z_76DA0934_094B_4E57_AB12_DC56A1829BFE_.wvu.PrintTitles" localSheetId="0" hidden="1">' внеочер. февраль'!$8:$9</definedName>
    <definedName name="Z_773C8ED8_259A_435B_A2EB_376F477CEEE9_.wvu.FilterData" localSheetId="0" hidden="1">' внеочер. февраль'!$A$8:$E$1370</definedName>
    <definedName name="Z_775AB00E_8D4F_4D25_BAA1_D32E750B159F_.wvu.FilterData" localSheetId="0" hidden="1">' внеочер. февраль'!$A$10:$F$1370</definedName>
    <definedName name="Z_7763531C_AC3F_478E_BD8E_8E920D470438_.wvu.FilterData" localSheetId="0" hidden="1">' внеочер. февраль'!$A$9:$G$1370</definedName>
    <definedName name="Z_7A665C25_213E_4242_9214_08C5F0A9D08F_.wvu.FilterData" localSheetId="0" hidden="1">' внеочер. февраль'!$A$9:$E$1370</definedName>
    <definedName name="Z_7A83D4F1_82F3_44A8_B469_A5BD985F0F72_.wvu.FilterData" localSheetId="0" hidden="1">' внеочер. февраль'!$A$9:$E$1370</definedName>
    <definedName name="Z_7B6C7D0C_F6C9_4DFB_8654_925C5D4A4019_.wvu.FilterData" localSheetId="0" hidden="1">' внеочер. февраль'!$A$10:$F$1370</definedName>
    <definedName name="Z_7BB74F41_EEBF_4F6C_9830_F81AA6414B96_.wvu.FilterData" localSheetId="0" hidden="1">' внеочер. февраль'!$A$9:$G$1370</definedName>
    <definedName name="Z_7BCC36D6_A042_46F1_8CD0_27947EEA9924_.wvu.FilterData" localSheetId="0" hidden="1">' внеочер. февраль'!$A$9:$O$1370</definedName>
    <definedName name="Z_7C95988F_C1B1_4BEF_A4BB_AC3594CB9E4E_.wvu.FilterData" localSheetId="0" hidden="1">' внеочер. февраль'!$A$9:$G$1370</definedName>
    <definedName name="Z_7DFFD3AC_8AEC_4835_9E82_9BD7BBCD1930_.wvu.FilterData" localSheetId="0" hidden="1">' внеочер. февраль'!$A$8:$H$1370</definedName>
    <definedName name="Z_7E029092_FA8A_4A4D_AE3C_21D32970A483_.wvu.FilterData" localSheetId="0" hidden="1">' внеочер. февраль'!$A$10:$F$1370</definedName>
    <definedName name="Z_7E394474_0026_44B2_84F4_29669D92377F_.wvu.FilterData" localSheetId="0" hidden="1">' внеочер. февраль'!$A$10:$F$1370</definedName>
    <definedName name="Z_7E877C34_B33C_49BB_A166_931946DF3D8C_.wvu.FilterData" localSheetId="0" hidden="1">' внеочер. февраль'!$A$9:$E$1370</definedName>
    <definedName name="Z_7EAC17AC_1CC5_451B_BA44_49F5B323EEBA_.wvu.FilterData" localSheetId="0" hidden="1">' внеочер. февраль'!$A$9:$F$1370</definedName>
    <definedName name="Z_7EC73DEF_4969_43C0_A3AB_359E54F0D5A8_.wvu.FilterData" localSheetId="0" hidden="1">' внеочер. февраль'!$A$9:$E$1370</definedName>
    <definedName name="Z_7F4D28E5_040F_46D2_B3AD_44E6B732A112_.wvu.FilterData" localSheetId="0" hidden="1">' внеочер. февраль'!$A$9:$F$1370</definedName>
    <definedName name="Z_80998865_1EE5_4B35_8F97_E8CE5EBBA20A_.wvu.FilterData" localSheetId="0" hidden="1">' внеочер. февраль'!$A$9:$E$1370</definedName>
    <definedName name="Z_8169B2DC_AC0B_4F5D_9C0B_66245A376BCB_.wvu.FilterData" localSheetId="0" hidden="1">' внеочер. февраль'!$A$9:$E$1370</definedName>
    <definedName name="Z_82CDF8AC_6B35_4370_B70C_9A39824BDEA9_.wvu.FilterData" localSheetId="0" hidden="1">' внеочер. февраль'!$A$8:$E$1370</definedName>
    <definedName name="Z_833FF089_4346_425B_82F5_E0D41DDD4D64_.wvu.FilterData" localSheetId="0" hidden="1">' внеочер. февраль'!$A$10:$F$1370</definedName>
    <definedName name="Z_83F4CD42_1E2C_459D_BDD9_54AAF1952425_.wvu.FilterData" localSheetId="0" hidden="1">' внеочер. февраль'!$A$9:$E$1370</definedName>
    <definedName name="Z_845AFF1C_527E_408C_9A0C_DABB05D4769E_.wvu.FilterData" localSheetId="0" hidden="1">' внеочер. февраль'!$A$9:$E$1370</definedName>
    <definedName name="Z_846D018C_A84D_480B_8803_E015DAEDC7C2_.wvu.FilterData" localSheetId="0" hidden="1">' внеочер. февраль'!$A$9:$E$1370</definedName>
    <definedName name="Z_8476216B_5C05_4F12_94CD_CFC02327FFCA_.wvu.FilterData" localSheetId="0" hidden="1">' внеочер. февраль'!$A$8:$F$1370</definedName>
    <definedName name="Z_84FAF353_EAC8_4062_89CC_B4B9E5B8590B_.wvu.FilterData" localSheetId="0" hidden="1">' внеочер. февраль'!$A$9:$E$1370</definedName>
    <definedName name="Z_8598304D_F424_4979_9334_DC487D9F4D35_.wvu.FilterData" localSheetId="0" hidden="1">' внеочер. февраль'!$A$9:$E$1370</definedName>
    <definedName name="Z_8616C649_CA8E_44F3_90AB_00701BC022A0_.wvu.FilterData" localSheetId="0" hidden="1">' внеочер. февраль'!$A$9:$E$1370</definedName>
    <definedName name="Z_864FEB3A_2B42_48DF_8CE0_9C5CE1571FC7_.wvu.FilterData" localSheetId="0" hidden="1">' внеочер. февраль'!$A$10:$E$1370</definedName>
    <definedName name="Z_868513B4_62AC_433A_97B8_0F4DD5007004_.wvu.FilterData" localSheetId="0" hidden="1">' внеочер. февраль'!$A$10:$F$1370</definedName>
    <definedName name="Z_86B6327A_D95E_49B1_8495_020918419947_.wvu.FilterData" localSheetId="0" hidden="1">' внеочер. февраль'!$A$9:$O$1370</definedName>
    <definedName name="Z_86B6327A_D95E_49B1_8495_020918419947_.wvu.PrintArea" localSheetId="0" hidden="1">' внеочер. февраль'!$A$5:$E$1370</definedName>
    <definedName name="Z_86B6327A_D95E_49B1_8495_020918419947_.wvu.PrintTitles" localSheetId="0" hidden="1">' внеочер. февраль'!$8:$9</definedName>
    <definedName name="Z_872CDEE6_215E_4468_9564_D597A3801AC0_.wvu.FilterData" localSheetId="0" hidden="1">' внеочер. февраль'!$A$9:$E$1370</definedName>
    <definedName name="Z_8780E9B9_CD29_44D0_82B5_BB3129C6A257_.wvu.FilterData" localSheetId="0" hidden="1">' внеочер. февраль'!$A$9:$N$9</definedName>
    <definedName name="Z_87ADE00E_8019_484F_A9E0_BABFAE55AD9B_.wvu.FilterData" localSheetId="0" hidden="1">' внеочер. февраль'!$A$9:$E$1370</definedName>
    <definedName name="Z_87CB72C3_DEAA_4AFB_A662_ECBE5F7D3D22_.wvu.FilterData" localSheetId="0" hidden="1">' внеочер. февраль'!$A$9:$F$1370</definedName>
    <definedName name="Z_88017512_72CD_44EE_8174_77E35562B8D5_.wvu.FilterData" localSheetId="0" hidden="1">' внеочер. февраль'!$A$9:$O$1370</definedName>
    <definedName name="Z_8878BC22_F0CB_434C_9C83_773F1C7044A1_.wvu.FilterData" localSheetId="0" hidden="1">' внеочер. февраль'!$A$10:$F$1370</definedName>
    <definedName name="Z_88CAF82E_E2E2_40E2_88FA_5A2E561F837B_.wvu.FilterData" localSheetId="0" hidden="1">' внеочер. февраль'!$A$9:$E$1370</definedName>
    <definedName name="Z_88E2770F_FDF7_4119_9DE4_A98F27723DFD_.wvu.FilterData" localSheetId="0" hidden="1">' внеочер. февраль'!$A$8:$O$1234</definedName>
    <definedName name="Z_88FEA4BB_C7F2_4123_9EF8_65C0940557BE_.wvu.FilterData" localSheetId="0" hidden="1">' внеочер. февраль'!$A$9:$F$1370</definedName>
    <definedName name="Z_89806037_C488_4001_A5BF_CAB06370D160_.wvu.FilterData" localSheetId="0" hidden="1">' внеочер. февраль'!$A$9:$E$1370</definedName>
    <definedName name="Z_89D24737_CA98_46EA_96C9_1D1A785BA04D_.wvu.FilterData" localSheetId="0" hidden="1">' внеочер. февраль'!$A$9:$E$1370</definedName>
    <definedName name="Z_89EEB67A_33F4_4B39_8002_4A31768EE262_.wvu.FilterData" localSheetId="0" hidden="1">' внеочер. февраль'!$A$9:$E$1370</definedName>
    <definedName name="Z_8A17EA4C_6E2A_4860_9AA0_2FBBAB5ADD10_.wvu.FilterData" localSheetId="0" hidden="1">' внеочер. февраль'!$A$8:$H$1370</definedName>
    <definedName name="Z_8AF82EDC_2694_49E5_975E_A02FB52BAEEC_.wvu.FilterData" localSheetId="0" hidden="1">' внеочер. февраль'!$A$9:$E$1370</definedName>
    <definedName name="Z_8C2FF530_E03C_4EDF_B8C1_401324EAAC31_.wvu.FilterData" localSheetId="0" hidden="1">' внеочер. февраль'!$A$9:$F$1370</definedName>
    <definedName name="Z_8C4F3190_FBE5_4F2E_B5DA_C0CF9D031B21_.wvu.FilterData" localSheetId="0" hidden="1">' внеочер. февраль'!$A$9:$E$1370</definedName>
    <definedName name="Z_8CBCA147_A63C_4228_91E8_977B7DD6C18A_.wvu.FilterData" localSheetId="0" hidden="1">' внеочер. февраль'!$A$9:$E$1370</definedName>
    <definedName name="Z_8CED2857_49AA_4B39_B61D_07EEBBBD9C17_.wvu.FilterData" localSheetId="0" hidden="1">' внеочер. февраль'!$A$8:$E$1370</definedName>
    <definedName name="Z_8D236C02_F133_4E14_A1E9_5A9DFF3BAEBD_.wvu.FilterData" localSheetId="0" hidden="1">' внеочер. февраль'!$A$8:$E$1370</definedName>
    <definedName name="Z_8D275433_AE17_4DBB_84BF_E6D70FF88E33_.wvu.FilterData" localSheetId="0" hidden="1">' внеочер. февраль'!$A$10:$F$1370</definedName>
    <definedName name="Z_8E2B396D_885B_477D_B25E_3ACB4F671715_.wvu.FilterData" localSheetId="0" hidden="1">' внеочер. февраль'!$A$9:$F$1370</definedName>
    <definedName name="Z_8E7A6D7C_D2A9_4B9A_B7BF_36990A7FB522_.wvu.FilterData" localSheetId="0" hidden="1">' внеочер. февраль'!$A$9:$E$1370</definedName>
    <definedName name="Z_8F07A239_3A25_48C9_BCFA_136B6E7ADEF1_.wvu.FilterData" localSheetId="0" hidden="1">' внеочер. февраль'!$A$9:$N$9</definedName>
    <definedName name="Z_8F7FEE23_7E89_4069_B521_7DFA52ADC22C_.wvu.FilterData" localSheetId="0" hidden="1">' внеочер. февраль'!$A$9:$E$1370</definedName>
    <definedName name="Z_8F94CD47_3676_4142_A740_EF3F4CF083B7_.wvu.FilterData" localSheetId="0" hidden="1">' внеочер. февраль'!$A$9:$E$1370</definedName>
    <definedName name="Z_8FBD54FB_C7C3_4686_9F28_6CD09E032056_.wvu.FilterData" localSheetId="0" hidden="1">' внеочер. февраль'!$A$9:$E$1370</definedName>
    <definedName name="Z_90EB2B0C_F326_49CA_B084_9E6CCBB2B723_.wvu.FilterData" localSheetId="0" hidden="1">' внеочер. февраль'!$A$10:$E$1370</definedName>
    <definedName name="Z_9155F32F_3369_402D_81BD_70A47D5D9B05_.wvu.FilterData" localSheetId="0" hidden="1">' внеочер. февраль'!$A$9:$E$1370</definedName>
    <definedName name="Z_91964C5F_9908_4A79_9A04_3E2375CB29E8_.wvu.FilterData" localSheetId="0" hidden="1">' внеочер. февраль'!$A$9:$F$1370</definedName>
    <definedName name="Z_927560E4_16F4_437D_B2EC_4CAB8D0EA442_.wvu.FilterData" localSheetId="0" hidden="1">' внеочер. февраль'!$A$9:$E$1370</definedName>
    <definedName name="Z_9281B041_A1FE_402D_B21B_6737AC1F5E64_.wvu.FilterData" localSheetId="0" hidden="1">' внеочер. февраль'!$A$9:$E$1370</definedName>
    <definedName name="Z_928A4AC7_63E1_4A42_AEB5_9F285555CFDD_.wvu.FilterData" localSheetId="0" hidden="1">' внеочер. февраль'!$A$9:$F$1370</definedName>
    <definedName name="Z_92F67522_75CD_4147_8C1A_A10437CA53AB_.wvu.FilterData" localSheetId="0" hidden="1">' внеочер. февраль'!$A$9:$E$1370</definedName>
    <definedName name="Z_93656BC9_97C1_4E43_A818_C3A65B0A7611_.wvu.FilterData" localSheetId="0" hidden="1">' внеочер. февраль'!$A$9:$G$1370</definedName>
    <definedName name="Z_938F3C8D_F14F_44C6_B174_3909288A1F86_.wvu.FilterData" localSheetId="0" hidden="1">' внеочер. февраль'!$A$9:$E$1370</definedName>
    <definedName name="Z_93F26734_BF85_4BA2_8C27_B2395DC0B121_.wvu.FilterData" localSheetId="0" hidden="1">' внеочер. февраль'!$A$10:$F$1370</definedName>
    <definedName name="Z_94FF4A27_B2D2_4FE2_A4AD_CFE92F7C286E_.wvu.FilterData" localSheetId="0" hidden="1">' внеочер. февраль'!$A$8:$H$1370</definedName>
    <definedName name="Z_952922BD_615F_486A_A80D_49F21FF6188C_.wvu.FilterData" localSheetId="0" hidden="1">' внеочер. февраль'!$A$9:$E$1370</definedName>
    <definedName name="Z_9639715E_30A7_4BF9_AADD_D6C70CD5BAE6_.wvu.FilterData" localSheetId="0" hidden="1">' внеочер. февраль'!$A$8:$E$1370</definedName>
    <definedName name="Z_968EC792_94F8_46A7_8EC0_68DB01582AA2_.wvu.FilterData" localSheetId="0" hidden="1">' внеочер. февраль'!$A$9:$E$1370</definedName>
    <definedName name="Z_980F2B87_126B_469E_AA9D_FE70C539340C_.wvu.FilterData" localSheetId="0" hidden="1">' внеочер. февраль'!$A$9:$O$1370</definedName>
    <definedName name="Z_98527800_7582_443A_BF53_1098F8ABD498_.wvu.FilterData" localSheetId="0" hidden="1">' внеочер. февраль'!$A$9:$E$1370</definedName>
    <definedName name="Z_9914B6DF_FF73_4749_9586_4EF13459EE1E_.wvu.FilterData" localSheetId="0" hidden="1">' внеочер. февраль'!$A$9:$E$1370</definedName>
    <definedName name="Z_9A60222D_B0F8_414C_B7E5_23019DA082DC_.wvu.FilterData" localSheetId="0" hidden="1">' внеочер. февраль'!$A$9:$O$1370</definedName>
    <definedName name="Z_9AADC7DE_663C_43DE_BE41_34E053764D39_.wvu.FilterData" localSheetId="0" hidden="1">' внеочер. февраль'!$A$9:$E$1370</definedName>
    <definedName name="Z_9ADE32A2_DBA1_4149_801E_AE2EC3E97217_.wvu.FilterData" localSheetId="0" hidden="1">' внеочер. февраль'!$A$9:$O$1370</definedName>
    <definedName name="Z_9C0FD5D2_CD6B_4719_A0F5_F6ADD3AB3A14_.wvu.FilterData" localSheetId="0" hidden="1">' внеочер. февраль'!$A$8:$E$1370</definedName>
    <definedName name="Z_9C28E3C1_3754_4F4C_9569_E6F7308DE1BB_.wvu.FilterData" localSheetId="0" hidden="1">' внеочер. февраль'!$A$9:$E$1370</definedName>
    <definedName name="Z_9C35CAE6_44B6_48E4_B7F8_BE4C777E2702_.wvu.FilterData" localSheetId="0" hidden="1">' внеочер. февраль'!$A$8:$E$1370</definedName>
    <definedName name="Z_9C5A2C5E_2B89_4DB3_9E68_ED2753642079_.wvu.FilterData" localSheetId="0" hidden="1">' внеочер. февраль'!$A$9:$E$1370</definedName>
    <definedName name="Z_9C62391A_362D_4258_A55F_BA1B24D0FC9E_.wvu.FilterData" localSheetId="0" hidden="1">' внеочер. февраль'!$A$9:$E$1370</definedName>
    <definedName name="Z_9C62391A_362D_4258_A55F_BA1B24D0FC9E_.wvu.PrintArea" localSheetId="0" hidden="1">' внеочер. февраль'!$A$6:$E$1370</definedName>
    <definedName name="Z_9C62391A_362D_4258_A55F_BA1B24D0FC9E_.wvu.PrintTitles" localSheetId="0" hidden="1">' внеочер. февраль'!$8:$9</definedName>
    <definedName name="Z_9CD40123_4334_4362_AB41_B2C8CA484D7B_.wvu.FilterData" localSheetId="0" hidden="1">' внеочер. февраль'!$A$9:$E$1370</definedName>
    <definedName name="Z_9CDEF188_379B_4F97_B413_BB4CFD744376_.wvu.FilterData" localSheetId="0" hidden="1">' внеочер. февраль'!$A$9:$E$1370</definedName>
    <definedName name="Z_9D16E30F_3645_4271_A758_1F9D741BC2B9_.wvu.FilterData" localSheetId="0" hidden="1">' внеочер. февраль'!$A$9:$E$1370</definedName>
    <definedName name="Z_9DC0DBF7_A4E2_4514_82D0_1538D912E0F7_.wvu.FilterData" localSheetId="0" hidden="1">' внеочер. февраль'!$A$8:$E$1370</definedName>
    <definedName name="Z_9E5A92FB_DD5B_4B40_85EC_63D06347F5D7_.wvu.FilterData" localSheetId="0" hidden="1">' внеочер. февраль'!$A$9:$E$1370</definedName>
    <definedName name="Z_9ECBA381_1DC2_4F5A_8B98_3B7ED1AA8818_.wvu.FilterData" localSheetId="0" hidden="1">' внеочер. февраль'!$A$8:$H$1370</definedName>
    <definedName name="Z_9FE00A23_3E6E_45B6_8F73_2F5D7CDBB7C0_.wvu.FilterData" localSheetId="0" hidden="1">' внеочер. февраль'!$A$9:$E$1370</definedName>
    <definedName name="Z_A03654CB_CEEB_4AD7_84D9_5BD17A234597_.wvu.FilterData" localSheetId="0" hidden="1">' внеочер. февраль'!$A$9:$O$1370</definedName>
    <definedName name="Z_A03EE788_6114_46BA_96B8_47DA4B94E0A8_.wvu.FilterData" localSheetId="0" hidden="1">' внеочер. февраль'!$A$9:$E$1370</definedName>
    <definedName name="Z_A060BCF8_395D_4D80_9310_40A1FD80CD84_.wvu.FilterData" localSheetId="0" hidden="1">' внеочер. февраль'!$A$9:$E$1370</definedName>
    <definedName name="Z_A0858176_AE4A_4511_8CCA_CDAF5FF4EC9F_.wvu.FilterData" localSheetId="0" hidden="1">' внеочер. февраль'!$A$9:$O$1370</definedName>
    <definedName name="Z_A0858176_AE4A_4511_8CCA_CDAF5FF4EC9F_.wvu.PrintArea" localSheetId="0" hidden="1">' внеочер. февраль'!$A$5:$E$1370</definedName>
    <definedName name="Z_A0858176_AE4A_4511_8CCA_CDAF5FF4EC9F_.wvu.PrintTitles" localSheetId="0" hidden="1">' внеочер. февраль'!$8:$9</definedName>
    <definedName name="Z_A0997AB9_86D9_4603_9E43_F16CD4262DD9_.wvu.FilterData" localSheetId="0" hidden="1">' внеочер. февраль'!$A$9:$E$1370</definedName>
    <definedName name="Z_A1991CF8_4328_44A0_B276_30A29ECA650E_.wvu.FilterData" localSheetId="0" hidden="1">' внеочер. февраль'!$A$9:$E$1370</definedName>
    <definedName name="Z_A1B5BA26_8F01_4355_B746_B2B643E22B6C_.wvu.FilterData" localSheetId="0" hidden="1">' внеочер. февраль'!$A$9:$N$9</definedName>
    <definedName name="Z_A2967F38_6102_404B_8C5A_48DB879B188C_.wvu.FilterData" localSheetId="0" hidden="1">' внеочер. февраль'!$A$9:$E$1370</definedName>
    <definedName name="Z_A2AEB166_243B_440F_AC0A_1E065899BF0F_.wvu.FilterData" localSheetId="0" hidden="1">' внеочер. февраль'!$A$9:$O$1370</definedName>
    <definedName name="Z_A336C063_9AF7_4CB2_A6EE_3917EE5297D7_.wvu.FilterData" localSheetId="0" hidden="1">' внеочер. февраль'!$A$9:$E$1370</definedName>
    <definedName name="Z_A33B931C_F4DA_418A_8384_084455794840_.wvu.FilterData" localSheetId="0" hidden="1">' внеочер. февраль'!$A$8:$O$1234</definedName>
    <definedName name="Z_A37816EC_B19A_42AC_9856_7637F134F4B4_.wvu.FilterData" localSheetId="0" hidden="1">' внеочер. февраль'!$A$9:$O$1370</definedName>
    <definedName name="Z_A37816EC_B19A_42AC_9856_7637F134F4B4_.wvu.PrintArea" localSheetId="0" hidden="1">' внеочер. февраль'!$A$5:$E$1370</definedName>
    <definedName name="Z_A37816EC_B19A_42AC_9856_7637F134F4B4_.wvu.PrintTitles" localSheetId="0" hidden="1">' внеочер. февраль'!$8:$9</definedName>
    <definedName name="Z_A4AA3170_1A36_4E16_9A28_CBAF3EC5A106_.wvu.FilterData" localSheetId="0" hidden="1">' внеочер. февраль'!$A$9:$E$1370</definedName>
    <definedName name="Z_A4DADFBF_9A09_4C38_B7AB_CE68BD803A3A_.wvu.FilterData" localSheetId="0" hidden="1">' внеочер. февраль'!$A$8:$H$1370</definedName>
    <definedName name="Z_A4EB1E82_D720_446E_898A_51CE463A939C_.wvu.FilterData" localSheetId="0" hidden="1">' внеочер. февраль'!$A$9:$E$1370</definedName>
    <definedName name="Z_A567E627_58EA_427E_9309_DD4E46832F3C_.wvu.FilterData" localSheetId="0" hidden="1">' внеочер. февраль'!$A$9:$E$1370</definedName>
    <definedName name="Z_A58AD4AB_23C2_4E90_8E70_71BCA9206245_.wvu.FilterData" localSheetId="0" hidden="1">' внеочер. февраль'!$A$9:$E$1370</definedName>
    <definedName name="Z_A5F5D32F_B5CC_49C4_8CA1_F64E3BDEB628_.wvu.FilterData" localSheetId="0" hidden="1">' внеочер. февраль'!$A$9:$F$1370</definedName>
    <definedName name="Z_A6D63E98_98AF_4FED_92FE_30231A913B24_.wvu.FilterData" localSheetId="0" hidden="1">' внеочер. февраль'!$A$9:$O$1370</definedName>
    <definedName name="Z_A7A1855C_4912_4D95_8081_C5854F8A3DCE_.wvu.FilterData" localSheetId="0" hidden="1">' внеочер. февраль'!$A$10:$E$1370</definedName>
    <definedName name="Z_A7E8FACC_1065_41F8_B620_A73B064F00E2_.wvu.FilterData" localSheetId="0" hidden="1">' внеочер. февраль'!$A$9:$E$1370</definedName>
    <definedName name="Z_A88F21AC_FEE4_4DA6_AF98_A1E66C2249D6_.wvu.FilterData" localSheetId="0" hidden="1">' внеочер. февраль'!$A$9:$E$1370</definedName>
    <definedName name="Z_A8980C08_21F3_4918_87BB_9AA281AC46F8_.wvu.FilterData" localSheetId="0" hidden="1">' внеочер. февраль'!$A$9:$O$1370</definedName>
    <definedName name="Z_A8980C08_21F3_4918_87BB_9AA281AC46F8_.wvu.PrintArea" localSheetId="0" hidden="1">' внеочер. февраль'!$A$5:$E$1370</definedName>
    <definedName name="Z_A8980C08_21F3_4918_87BB_9AA281AC46F8_.wvu.PrintTitles" localSheetId="0" hidden="1">' внеочер. февраль'!$8:$9</definedName>
    <definedName name="Z_A8A7EF38_727A_49A9_8C6A_3AC232BDAF6B_.wvu.FilterData" localSheetId="0" hidden="1">' внеочер. февраль'!$A$9:$F$1370</definedName>
    <definedName name="Z_AA4F837E_2A91_490C_A914_66669848E4A4_.wvu.FilterData" localSheetId="0" hidden="1">' внеочер. февраль'!$A$9:$E$1370</definedName>
    <definedName name="Z_AA64E4D3_5425_474F_A918_7209812D39B7_.wvu.FilterData" localSheetId="0" hidden="1">' внеочер. февраль'!$A$8:$H$1370</definedName>
    <definedName name="Z_AA97E25F_0220_4038_95CE_CA1EBC5666AE_.wvu.FilterData" localSheetId="0" hidden="1">' внеочер. февраль'!$A$9:$F$1370</definedName>
    <definedName name="Z_AAD74E8C_DDD3_4749_A0BC_D1C4966F5B76_.wvu.FilterData" localSheetId="0" hidden="1">' внеочер. февраль'!$A$9:$F$1370</definedName>
    <definedName name="Z_AB224E00_A482_4F7C_9734_C14220AE4CA7_.wvu.FilterData" localSheetId="0" hidden="1">' внеочер. февраль'!$A$9:$E$1370</definedName>
    <definedName name="Z_AB224E00_A482_4F7C_9734_C14220AE4CA7_.wvu.PrintArea" localSheetId="0" hidden="1">' внеочер. февраль'!$A$6:$E$1370</definedName>
    <definedName name="Z_AB224E00_A482_4F7C_9734_C14220AE4CA7_.wvu.PrintTitles" localSheetId="0" hidden="1">' внеочер. февраль'!$8:$9</definedName>
    <definedName name="Z_AB28C922_E83D_4F30_A20B_27DF84F80F55_.wvu.FilterData" localSheetId="0" hidden="1">' внеочер. февраль'!$A$9:$F$1370</definedName>
    <definedName name="Z_ABB4C924_C22F_4332_B1E2_6E3747A983CA_.wvu.FilterData" localSheetId="0" hidden="1">' внеочер. февраль'!$A$9:$F$1370</definedName>
    <definedName name="Z_ACCB30BB_01DC_43D4_836E_429C6448B1CB_.wvu.FilterData" localSheetId="0" hidden="1">' внеочер. февраль'!$A$10:$F$1370</definedName>
    <definedName name="Z_ACD3B832_A2A4_498A_8E21_755965197E6E_.wvu.FilterData" localSheetId="0" hidden="1">' внеочер. февраль'!$A$8:$E$1370</definedName>
    <definedName name="Z_ACD63D34_128A_47DE_82E6_4F8C027F5F84_.wvu.FilterData" localSheetId="0" hidden="1">' внеочер. февраль'!$A$9:$F$1370</definedName>
    <definedName name="Z_ACF5A494_D5F3_45EA_AC05_6CD70B9D490A_.wvu.FilterData" localSheetId="0" hidden="1">' внеочер. февраль'!$A$9:$F$1370</definedName>
    <definedName name="Z_AD349DA5_054B_49B5_B19E_DFD877307150_.wvu.FilterData" localSheetId="0" hidden="1">' внеочер. февраль'!$A$9:$E$1370</definedName>
    <definedName name="Z_AD9C8EF2_D108_4EDA_86DA_3E3D7934FF6F_.wvu.FilterData" localSheetId="0" hidden="1">' внеочер. февраль'!$A$9:$E$1370</definedName>
    <definedName name="Z_AE66B31B_DF56_4292_B90E_FF6F9DCC7B6B_.wvu.FilterData" localSheetId="0" hidden="1">' внеочер. февраль'!$A$8:$E$1370</definedName>
    <definedName name="Z_AEDA333A_D9AA_405B_ABC1_BE9C76311ED8_.wvu.FilterData" localSheetId="0" hidden="1">' внеочер. февраль'!$A$9:$E$1370</definedName>
    <definedName name="Z_AF900C31_6007_44AB_B1A1_02B55443FC0F_.wvu.FilterData" localSheetId="0" hidden="1">' внеочер. февраль'!$A$9:$O$1370</definedName>
    <definedName name="Z_B069FE53_7B23_48FB_82B5_9778FA7D2160_.wvu.FilterData" localSheetId="0" hidden="1">' внеочер. февраль'!$A$9:$E$1370</definedName>
    <definedName name="Z_B0869DD0_4E4F_4113_ACAF_3EBD16801578_.wvu.FilterData" localSheetId="0" hidden="1">' внеочер. февраль'!$A$9:$E$1370</definedName>
    <definedName name="Z_B15AC933_87B8_4797_BB3A_1068F32FD009_.wvu.FilterData" localSheetId="0" hidden="1">' внеочер. февраль'!$A$9:$N$9</definedName>
    <definedName name="Z_B32D5E1C_E43F_43A1_AD35_EE49EF48D8C1_.wvu.FilterData" localSheetId="0" hidden="1">' внеочер. февраль'!$A$8:$O$1234</definedName>
    <definedName name="Z_B36836AB_B2DC_4579_8450_86DA52B8715F_.wvu.FilterData" localSheetId="0" hidden="1">' внеочер. февраль'!$A$9:$O$1370</definedName>
    <definedName name="Z_B4879559_CBA4_4C07_8FFB_3AC4065F015D_.wvu.FilterData" localSheetId="0" hidden="1">' внеочер. февраль'!$A$9:$E$1370</definedName>
    <definedName name="Z_B67C7A56_4F1E_4E06_A961_1D4FD302914F_.wvu.FilterData" localSheetId="0" hidden="1">' внеочер. февраль'!$A$9:$F$1370</definedName>
    <definedName name="Z_B68D0871_501E_4BEE_868B_0B200CB69687_.wvu.FilterData" localSheetId="0" hidden="1">' внеочер. февраль'!$A$9:$E$1370</definedName>
    <definedName name="Z_B692C564_50AC_4D66_A6F0_D7BD0A37D2B3_.wvu.FilterData" localSheetId="0" hidden="1">' внеочер. февраль'!$A$8:$E$1370</definedName>
    <definedName name="Z_B7453E40_0374_4DB2_BE2E_AE28A456BF89_.wvu.FilterData" localSheetId="0" hidden="1">' внеочер. февраль'!$A$9:$E$1370</definedName>
    <definedName name="Z_B86E229C_C7E6_4BEE_8F71_4AF33E30D26C_.wvu.FilterData" localSheetId="0" hidden="1">' внеочер. февраль'!$A$8:$H$1370</definedName>
    <definedName name="Z_B89A8773_9AB2_4E35_B4E4_578258B04884_.wvu.FilterData" localSheetId="0" hidden="1">' внеочер. февраль'!$A$9:$E$1370</definedName>
    <definedName name="Z_B94AAF23_0EC4_482C_B2C6_3CD2B03D03A6_.wvu.FilterData" localSheetId="0" hidden="1">' внеочер. февраль'!$A$10:$F$1370</definedName>
    <definedName name="Z_B951B871_8CAA_49D2_996A_48F2EC326E3E_.wvu.FilterData" localSheetId="0" hidden="1">' внеочер. февраль'!$A$9:$E$1370</definedName>
    <definedName name="Z_B9D9CA5E_4484_40C3_BC63_2566739061D4_.wvu.FilterData" localSheetId="0" hidden="1">' внеочер. февраль'!$A$9:$F$1370</definedName>
    <definedName name="Z_BA27273C_5D93_4765_97AE_73789493C011_.wvu.FilterData" localSheetId="0" hidden="1">' внеочер. февраль'!$A$9:$F$1370</definedName>
    <definedName name="Z_BA42A75F_E336_46C8_9058_10E35B0DB655_.wvu.FilterData" localSheetId="0" hidden="1">' внеочер. февраль'!$A$9:$E$1370</definedName>
    <definedName name="Z_BA81AF71_0543_46DB_870F_91DAEA651B4A_.wvu.FilterData" localSheetId="0" hidden="1">' внеочер. февраль'!$A$9:$E$1370</definedName>
    <definedName name="Z_BA87699B_39A7_4BE1_AB39_2EF668FB8B75_.wvu.FilterData" localSheetId="0" hidden="1">' внеочер. февраль'!$A$9:$N$1370</definedName>
    <definedName name="Z_BA8E6D51_2160_41C4_ADA6_36C6B285318D_.wvu.FilterData" localSheetId="0" hidden="1">' внеочер. февраль'!$A$9:$E$1370</definedName>
    <definedName name="Z_BA8EA1FB_F2DC_4623_AF0B_7D5C1B2BC8D5_.wvu.FilterData" localSheetId="0" hidden="1">' внеочер. февраль'!$A$9:$E$1370</definedName>
    <definedName name="Z_BA97271D_EE24_4E22_98E4_2E865BCD48CE_.wvu.FilterData" localSheetId="0" hidden="1">' внеочер. февраль'!$A$9:$E$1370</definedName>
    <definedName name="Z_BB334816_B694_4DDE_9B84_44F974F0DE0F_.wvu.FilterData" localSheetId="0" hidden="1">' внеочер. февраль'!$A$9:$E$1370</definedName>
    <definedName name="Z_BB68B916_0200_4122_8AAD_17BE6B96C059_.wvu.FilterData" localSheetId="0" hidden="1">' внеочер. февраль'!$A$9:$E$1370</definedName>
    <definedName name="Z_BBBF33CC_A29C_4086_B5E2_03F7BEAFF153_.wvu.FilterData" localSheetId="0" hidden="1">' внеочер. февраль'!$A$8:$E$1370</definedName>
    <definedName name="Z_BCFDA208_3044_4AFA_AF22_976F02AF2B72_.wvu.FilterData" localSheetId="0" hidden="1">' внеочер. февраль'!$A$10:$F$1370</definedName>
    <definedName name="Z_BEC1FFF9_EBBF_4E54_8AA7_E049949E23D2_.wvu.FilterData" localSheetId="0" hidden="1">' внеочер. февраль'!$A$9:$N$1370</definedName>
    <definedName name="Z_BF08EF6A_7EB3_4FEB_B82A_4D54F4D42083_.wvu.FilterData" localSheetId="0" hidden="1">' внеочер. февраль'!$A$9:$E$1370</definedName>
    <definedName name="Z_BF83C25F_D9F8_4FE9_A9EB_E3B10ED0E130_.wvu.FilterData" localSheetId="0" hidden="1">' внеочер. февраль'!$A$10:$F$1370</definedName>
    <definedName name="Z_BF91B78D_7414_440A_9573_1A2A599A9010_.wvu.FilterData" localSheetId="0" hidden="1">' внеочер. февраль'!$A$10:$F$1370</definedName>
    <definedName name="Z_C0130633_9B75_44CD_A54E_E23B69AF7B5C_.wvu.FilterData" localSheetId="0" hidden="1">' внеочер. февраль'!$A$8:$H$1370</definedName>
    <definedName name="Z_C017B595_8B3C_4CDD_9A8E_3D8C99F071CE_.wvu.FilterData" localSheetId="0" hidden="1">' внеочер. февраль'!$A$9:$O$1370</definedName>
    <definedName name="Z_C09ED9C7_3F01_41B0_B9A2_04AF31DFAE98_.wvu.FilterData" localSheetId="0" hidden="1">' внеочер. февраль'!$A$9:$O$1370</definedName>
    <definedName name="Z_C09ED9C7_3F01_41B0_B9A2_04AF31DFAE98_.wvu.PrintArea" localSheetId="0" hidden="1">' внеочер. февраль'!$A$5:$E$1370</definedName>
    <definedName name="Z_C09ED9C7_3F01_41B0_B9A2_04AF31DFAE98_.wvu.PrintTitles" localSheetId="0" hidden="1">' внеочер. февраль'!$8:$9</definedName>
    <definedName name="Z_C1C5CB7A_B931_46FE_86E6_DDDBBF663979_.wvu.FilterData" localSheetId="0" hidden="1">' внеочер. февраль'!$A$9:$F$1370</definedName>
    <definedName name="Z_C21A0BA3_C7FA_4A0F_8782_A3CEFE7A74B5_.wvu.FilterData" localSheetId="0" hidden="1">' внеочер. февраль'!$A$9:$E$1370</definedName>
    <definedName name="Z_C22C7355_3106_45F0_8202_BE24CF75D6F0_.wvu.FilterData" localSheetId="0" hidden="1">' внеочер. февраль'!$A$9:$E$1370</definedName>
    <definedName name="Z_C25C5121_DF6D_4DE6_BD68_361847DB64AA_.wvu.FilterData" localSheetId="0" hidden="1">' внеочер. февраль'!$A$9:$E$1370</definedName>
    <definedName name="Z_C2BDC339_C45E_4E77_B0A6_55658F6F3136_.wvu.FilterData" localSheetId="0" hidden="1">' внеочер. февраль'!$A$10:$F$1370</definedName>
    <definedName name="Z_C308805D_5045_4C59_A4CF_4EC84D526991_.wvu.FilterData" localSheetId="0" hidden="1">' внеочер. февраль'!$A$10:$F$1370</definedName>
    <definedName name="Z_C30AED1A_FFFC_46DB_9F94_B25D82583073_.wvu.FilterData" localSheetId="0" hidden="1">' внеочер. февраль'!$A$9:$E$1370</definedName>
    <definedName name="Z_C3A597D9_05C0_4094_9E37_96E7110EDD42_.wvu.FilterData" localSheetId="0" hidden="1">' внеочер. февраль'!$A$9:$E$1370</definedName>
    <definedName name="Z_C3B9502E_C3D1_473A_8605_1A32664E6971_.wvu.FilterData" localSheetId="0" hidden="1">' внеочер. февраль'!$A$9:$E$1370</definedName>
    <definedName name="Z_C3D10265_F565_4FFB_AEE3_3623F8BF0FFE_.wvu.FilterData" localSheetId="0" hidden="1">' внеочер. февраль'!$A$9:$E$1370</definedName>
    <definedName name="Z_C489EFC4_9360_418F_A2B4_13EFB4E4A1F2_.wvu.FilterData" localSheetId="0" hidden="1">' внеочер. февраль'!$A$9:$O$1370</definedName>
    <definedName name="Z_C4994DD5_4E9E_42DE_B02F_538D9609AAC7_.wvu.FilterData" localSheetId="0" hidden="1">' внеочер. февраль'!$A$8:$O$1234</definedName>
    <definedName name="Z_C4EFC76C_0E90_4161_88E5_BC142A35BE24_.wvu.FilterData" localSheetId="0" hidden="1">' внеочер. февраль'!$A$9:$E$1370</definedName>
    <definedName name="Z_C557062B_23DD_48F8_8074_733E6ED70D0E_.wvu.FilterData" localSheetId="0" hidden="1">' внеочер. февраль'!$A$9:$E$1370</definedName>
    <definedName name="Z_C5577C5D_C900_44DF_9784_827E772A0F1E_.wvu.FilterData" localSheetId="0" hidden="1">' внеочер. февраль'!$A$10:$F$1370</definedName>
    <definedName name="Z_C5A90816_4097_4F1A_97B6_8DC714EB01D6_.wvu.FilterData" localSheetId="0" hidden="1">' внеочер. февраль'!$A$9:$E$1370</definedName>
    <definedName name="Z_C5BEC7FC_0A8B_4225_8766_FF148EDD8D69_.wvu.FilterData" localSheetId="0" hidden="1">' внеочер. февраль'!$A$9:$E$1370</definedName>
    <definedName name="Z_C6B0FFEF_CDF6_4657_863E_491E7544F5FF_.wvu.FilterData" localSheetId="0" hidden="1">' внеочер. февраль'!$A$9:$F$1370</definedName>
    <definedName name="Z_C6B44AE9_1A56_4A40_870F_1B83AC3A9EFA_.wvu.FilterData" localSheetId="0" hidden="1">' внеочер. февраль'!$A$9:$E$1370</definedName>
    <definedName name="Z_C6CD57F2_3ADA_4DB4_B245_844472FE883D_.wvu.FilterData" localSheetId="0" hidden="1">' внеочер. февраль'!$A$9:$E$1370</definedName>
    <definedName name="Z_C73F099E_A986_4A81_BB66_D928DBCC4928_.wvu.FilterData" localSheetId="0" hidden="1">' внеочер. февраль'!$A$9:$E$1370</definedName>
    <definedName name="Z_C777DA29_B471_4017_98BA_59D6EFE0C397_.wvu.FilterData" localSheetId="0" hidden="1">' внеочер. февраль'!$A$9:$E$1370</definedName>
    <definedName name="Z_C88B7C62_EF7B_4E93_8468_D2A2F08AED85_.wvu.FilterData" localSheetId="0" hidden="1">' внеочер. февраль'!$A$9:$E$1370</definedName>
    <definedName name="Z_C8C15DA3_D704_472D_ADAE_A4F41C729A78_.wvu.FilterData" localSheetId="0" hidden="1">' внеочер. февраль'!$A$8:$H$1370</definedName>
    <definedName name="Z_C9083FCF_5AD5_4FD4_8872_EA7351316C33_.wvu.FilterData" localSheetId="0" hidden="1">' внеочер. февраль'!$A$9:$E$1370</definedName>
    <definedName name="Z_C954F6E4_3C16_4AAD_9C43_BDEA7C796DD2_.wvu.FilterData" localSheetId="0" hidden="1">' внеочер. февраль'!$A$8:$F$1370</definedName>
    <definedName name="Z_CA1458D7_6B23_4EAB_BCE8_8CDC8325B1EC_.wvu.FilterData" localSheetId="0" hidden="1">' внеочер. февраль'!$A$10:$F$1370</definedName>
    <definedName name="Z_CADFB9D5_8B12_4617_9491_BA6A3190FAB2_.wvu.FilterData" localSheetId="0" hidden="1">' внеочер. февраль'!$A$9:$E$1370</definedName>
    <definedName name="Z_CBDD0E3F_6FEE_4397_810C_A899A667AC6E_.wvu.FilterData" localSheetId="0" hidden="1">' внеочер. февраль'!$A$9:$O$1370</definedName>
    <definedName name="Z_CBDD0E3F_6FEE_4397_810C_A899A667AC6E_.wvu.PrintArea" localSheetId="0" hidden="1">' внеочер. февраль'!$A$1:$E$1370</definedName>
    <definedName name="Z_CBDD0E3F_6FEE_4397_810C_A899A667AC6E_.wvu.PrintTitles" localSheetId="0" hidden="1">' внеочер. февраль'!$8:$9</definedName>
    <definedName name="Z_CC0E0563_0464_46B7_8E01_1F626C644883_.wvu.FilterData" localSheetId="0" hidden="1">' внеочер. февраль'!$A$9:$E$1370</definedName>
    <definedName name="Z_CC3D8C20_8251_4F90_9BEF_DB24F341BFE2_.wvu.FilterData" localSheetId="0" hidden="1">' внеочер. февраль'!$A$10:$F$1370</definedName>
    <definedName name="Z_CC4BF7AB_47AF_42AD_8A38_A5CA6CCF7EEC_.wvu.FilterData" localSheetId="0" hidden="1">' внеочер. февраль'!$A$8:$F$1370</definedName>
    <definedName name="Z_CCDD643F_A622_4287_B29F_E44EC6A62976_.wvu.FilterData" localSheetId="0" hidden="1">' внеочер. февраль'!$A$9:$N$9</definedName>
    <definedName name="Z_CD216A98_F896_46E6_81F1_9F200C57832B_.wvu.FilterData" localSheetId="0" hidden="1">' внеочер. февраль'!$A$8:$H$1370</definedName>
    <definedName name="Z_CD99A3BC_BC5E_4DA3_BC0F_7D3696600ABE_.wvu.FilterData" localSheetId="0" hidden="1">' внеочер. февраль'!$A$10:$F$1370</definedName>
    <definedName name="Z_CE245A7C_7AAB_48DA_92E8_339E3ED4786F_.wvu.FilterData" localSheetId="0" hidden="1">' внеочер. февраль'!$A$9:$E$1370</definedName>
    <definedName name="Z_CE2A8E54_A9C3_4B3A_9DB7_B9C046E7121A_.wvu.FilterData" localSheetId="0" hidden="1">' внеочер. февраль'!$A$9:$E$1370</definedName>
    <definedName name="Z_CEAC3DBC_CB49_4EFD_BCFE_2BE827E47BCB_.wvu.FilterData" localSheetId="0" hidden="1">' внеочер. февраль'!$A$9:$E$1370</definedName>
    <definedName name="Z_CED21DB2_6BB9_4C36_AF5A_95FB5A9B0618_.wvu.FilterData" localSheetId="0" hidden="1">' внеочер. февраль'!$A$10:$F$1370</definedName>
    <definedName name="Z_CF70C076_1C58_4FA8_AF11_6F15FD39E16F_.wvu.FilterData" localSheetId="0" hidden="1">' внеочер. февраль'!$A$9:$E$1370</definedName>
    <definedName name="Z_D00B2C19_C8BD_472F_82D9_1E8330FFAF5C_.wvu.FilterData" localSheetId="0" hidden="1">' внеочер. февраль'!$A$9:$E$1370</definedName>
    <definedName name="Z_D14CD5B2_0FC0_4002_99E1_91B5BA2C6859_.wvu.FilterData" localSheetId="0" hidden="1">' внеочер. февраль'!$A$8:$O$1234</definedName>
    <definedName name="Z_D1A4CB10_86EC_4E46_841E_BA4CFFB4167C_.wvu.FilterData" localSheetId="0" hidden="1">' внеочер. февраль'!$A$9:$E$1370</definedName>
    <definedName name="Z_D1E640D3_936B_4D1D_B5EE_C8275CE80E30_.wvu.FilterData" localSheetId="0" hidden="1">' внеочер. февраль'!$A$9:$E$1370</definedName>
    <definedName name="Z_D1F3F577_6AA0_48EE_A0B6_1B4313AF6854_.wvu.FilterData" localSheetId="0" hidden="1">' внеочер. февраль'!$A$9:$E$1370</definedName>
    <definedName name="Z_D3294F1B_0A49_4FD5_ABC4_41CE47DC5D79_.wvu.FilterData" localSheetId="0" hidden="1">' внеочер. февраль'!$A$9:$O$1370</definedName>
    <definedName name="Z_D3918499_DA61_4023_B545_3B73DB05C80F_.wvu.FilterData" localSheetId="0" hidden="1">' внеочер. февраль'!$A$8:$E$1370</definedName>
    <definedName name="Z_D400738B_6EC6_4ADB_9035_5477E2FEB221_.wvu.FilterData" localSheetId="0" hidden="1">' внеочер. февраль'!$A$10:$F$1370</definedName>
    <definedName name="Z_D440254E_41A6_489A_B447_9F453B0CB83F_.wvu.FilterData" localSheetId="0" hidden="1">' внеочер. февраль'!$A$9:$E$1370</definedName>
    <definedName name="Z_D45AC4E1_E060_4AA9_85FA_EFB2C851A181_.wvu.FilterData" localSheetId="0" hidden="1">' внеочер. февраль'!$A$9:$E$1370</definedName>
    <definedName name="Z_D4B8746D_1538_4A28_BC13_FD35E4625356_.wvu.FilterData" localSheetId="0" hidden="1">' внеочер. февраль'!$A$9:$O$1370</definedName>
    <definedName name="Z_D4FD53CE_0AA7_4717_8DE3_B086290F8272_.wvu.FilterData" localSheetId="0" hidden="1">' внеочер. февраль'!$A$9:$N$1370</definedName>
    <definedName name="Z_D586D7FC_F9F5_48CD_8A73_2A73A228085B_.wvu.FilterData" localSheetId="0" hidden="1">' внеочер. февраль'!$A$9:$E$1370</definedName>
    <definedName name="Z_D599A772_803D_4E7C_820B_2D961F935836_.wvu.FilterData" localSheetId="0" hidden="1">' внеочер. февраль'!$A$8:$E$1370</definedName>
    <definedName name="Z_D6430692_20E3_40AA_A9D5_99EA8766E265_.wvu.FilterData" localSheetId="0" hidden="1">' внеочер. февраль'!$A$8:$E$1370</definedName>
    <definedName name="Z_D7289A37_3C27_4840_AD7C_1AFF996D1A2F_.wvu.FilterData" localSheetId="0" hidden="1">' внеочер. февраль'!$A$9:$E$1370</definedName>
    <definedName name="Z_D7C16083_DBA7_49C4_BE94_9C0204C49779_.wvu.FilterData" localSheetId="0" hidden="1">' внеочер. февраль'!$A$8:$F$1370</definedName>
    <definedName name="Z_D8A816C3_A501_4BDE_9F73_F9578B3CE77F_.wvu.FilterData" localSheetId="0" hidden="1">' внеочер. февраль'!$A$9:$E$1370</definedName>
    <definedName name="Z_D8B3C622_391F_4EFC_AC69_E013E2043E34_.wvu.FilterData" localSheetId="0" hidden="1">' внеочер. февраль'!$A$9:$N$9</definedName>
    <definedName name="Z_D8DC842C_5951_4442_B0EE_30FB9C1A5F7D_.wvu.FilterData" localSheetId="0" hidden="1">' внеочер. февраль'!$A$9:$F$1370</definedName>
    <definedName name="Z_D988BCA8_9ACE_4E50_9FF3_49BE31C5C15E_.wvu.FilterData" localSheetId="0" hidden="1">' внеочер. февраль'!$A$9:$E$1370</definedName>
    <definedName name="Z_DAE4EE7F_EC1F_4E66_AD7B_DC3AED263F1B_.wvu.FilterData" localSheetId="0" hidden="1">' внеочер. февраль'!$A$9:$E$1370</definedName>
    <definedName name="Z_DB753B12_AF32_40F3_9502_007F3A2A0209_.wvu.FilterData" localSheetId="0" hidden="1">' внеочер. февраль'!$A$9:$E$1370</definedName>
    <definedName name="Z_DBBEA39A_542A_4664_BF16_BCBC6F3A6922_.wvu.FilterData" localSheetId="0" hidden="1">' внеочер. февраль'!$A$9:$E$1370</definedName>
    <definedName name="Z_DC167558_E1E7_48C6_A0F3_C36EC7DF6D9C_.wvu.FilterData" localSheetId="0" hidden="1">' внеочер. февраль'!$A$8:$F$1370</definedName>
    <definedName name="Z_DC4402F4_9D87_41A5_A241_56A7048328B5_.wvu.FilterData" localSheetId="0" hidden="1">' внеочер. февраль'!$A$9:$E$1370</definedName>
    <definedName name="Z_DE0BD4B4_13ED_4003_A88D_9B8CEBD1BE7E_.wvu.FilterData" localSheetId="0" hidden="1">' внеочер. февраль'!$A$9:$E$1370</definedName>
    <definedName name="Z_E05FE7CA_AB7E_4576_B94E_B14DEE116E9B_.wvu.FilterData" localSheetId="0" hidden="1">' внеочер. февраль'!$A$10:$F$1370</definedName>
    <definedName name="Z_E090E2BD_FDF7_4BA0_9AB4_FACEF4579A49_.wvu.FilterData" localSheetId="0" hidden="1">' внеочер. февраль'!$A$9:$E$1370</definedName>
    <definedName name="Z_E09A6628_98D2_4E8C_8820_8C993B65AF10_.wvu.FilterData" localSheetId="0" hidden="1">' внеочер. февраль'!$A$9:$E$1370</definedName>
    <definedName name="Z_E0A245A2_D7A0_45F7_8E87_B3239665286F_.wvu.FilterData" localSheetId="0" hidden="1">' внеочер. февраль'!$A$9:$O$1370</definedName>
    <definedName name="Z_E0AF8AC7_3BDC_406D_8CAB_30EE58D502AB_.wvu.FilterData" localSheetId="0" hidden="1">' внеочер. февраль'!$A$9:$F$1370</definedName>
    <definedName name="Z_E179251A_6A0B_41C7_972E_F78656C6C3C0_.wvu.FilterData" localSheetId="0" hidden="1">' внеочер. февраль'!$A$10:$F$1370</definedName>
    <definedName name="Z_E1C92FA0_EFA1_44CF_A5E8_BC9EEA8C8445_.wvu.FilterData" localSheetId="0" hidden="1">' внеочер. февраль'!$A$9:$F$1370</definedName>
    <definedName name="Z_E1CEB4AF_ED92_45CD_B3B6_C48EB2F1F447_.wvu.FilterData" localSheetId="0" hidden="1">' внеочер. февраль'!$A$9:$E$1370</definedName>
    <definedName name="Z_E2305B83_2B3F_42F8_B7CC_54DE2A76A252_.wvu.FilterData" localSheetId="0" hidden="1">' внеочер. февраль'!$A$9:$E$1370</definedName>
    <definedName name="Z_E2AFC98A_A781_4B3E_95DE_3B854183BE54_.wvu.FilterData" localSheetId="0" hidden="1">' внеочер. февраль'!$A$8:$E$1370</definedName>
    <definedName name="Z_E303D358_6406_440B_A615_9B73958D0CB0_.wvu.FilterData" localSheetId="0" hidden="1">' внеочер. февраль'!$A$8:$O$1234</definedName>
    <definedName name="Z_E303D358_6406_440B_A615_9B73958D0CB0_.wvu.PrintArea" localSheetId="0" hidden="1">' внеочер. февраль'!$A$5:$E$1370</definedName>
    <definedName name="Z_E303D358_6406_440B_A615_9B73958D0CB0_.wvu.PrintTitles" localSheetId="0" hidden="1">' внеочер. февраль'!$8:$9</definedName>
    <definedName name="Z_E344FFFC_2F72_4250_8418_4C2411576425_.wvu.FilterData" localSheetId="0" hidden="1">' внеочер. февраль'!$A$9:$O$1370</definedName>
    <definedName name="Z_E344FFFC_2F72_4250_8418_4C2411576425_.wvu.PrintArea" localSheetId="0" hidden="1">' внеочер. февраль'!$A$5:$E$1370</definedName>
    <definedName name="Z_E344FFFC_2F72_4250_8418_4C2411576425_.wvu.PrintTitles" localSheetId="0" hidden="1">' внеочер. февраль'!$8:$9</definedName>
    <definedName name="Z_E3AA69BC_73C5_436F_8292_04249E206209_.wvu.FilterData" localSheetId="0" hidden="1">' внеочер. февраль'!$A$8:$E$1370</definedName>
    <definedName name="Z_E3EF5664_6933_45E6_8B90_4EC008BAA6DA_.wvu.FilterData" localSheetId="0" hidden="1">' внеочер. февраль'!$A$9:$E$1370</definedName>
    <definedName name="Z_E40A2E48_51A6_4A10_B256_9F871498178E_.wvu.FilterData" localSheetId="0" hidden="1">' внеочер. февраль'!$A$9:$E$1370</definedName>
    <definedName name="Z_E4483789_8437_41BE_B266_3246892F6701_.wvu.FilterData" localSheetId="0" hidden="1">' внеочер. февраль'!$A$8:$E$1370</definedName>
    <definedName name="Z_E513314A_DFAB_4149_AA24_F999645F097D_.wvu.FilterData" localSheetId="0" hidden="1">' внеочер. февраль'!$A$9:$E$1370</definedName>
    <definedName name="Z_E5652644_D19D_4611_A04C_4DBABDD44058_.wvu.FilterData" localSheetId="0" hidden="1">' внеочер. февраль'!$A$8:$E$1370</definedName>
    <definedName name="Z_E601DD47_19B5_4EF8_AE31_3266BEE77C55_.wvu.FilterData" localSheetId="0" hidden="1">' внеочер. февраль'!$A$9:$E$1370</definedName>
    <definedName name="Z_E6A14AF0_0F12_4167_845C_627F5B26E7F6_.wvu.FilterData" localSheetId="0" hidden="1">' внеочер. февраль'!$A$10:$E$1370</definedName>
    <definedName name="Z_E6A376C0_4D34_4B5E_A9D2_8A6F83A27C21_.wvu.FilterData" localSheetId="0" hidden="1">' внеочер. февраль'!$A$9:$E$1370</definedName>
    <definedName name="Z_E779EC48_4E02_4526_8799_059815D90367_.wvu.FilterData" localSheetId="0" hidden="1">' внеочер. февраль'!$A$10:$E$1370</definedName>
    <definedName name="Z_E843C314_7D2D_45D0_9392_993809AA616D_.wvu.FilterData" localSheetId="0" hidden="1">' внеочер. февраль'!$A$9:$F$1370</definedName>
    <definedName name="Z_E962498D_5747_45BC_92CD_A73AB634C455_.wvu.FilterData" localSheetId="0" hidden="1">' внеочер. февраль'!$A$9:$E$1370</definedName>
    <definedName name="Z_EA2A7D6E_BB75_40CB_9FA0_6E6DA7AF5204_.wvu.FilterData" localSheetId="0" hidden="1">' внеочер. февраль'!$A$9:$E$1370</definedName>
    <definedName name="Z_EBBD52EF_11DC_40E8_A4D9_E4C3128A156A_.wvu.FilterData" localSheetId="0" hidden="1">' внеочер. февраль'!$A$10:$E$1370</definedName>
    <definedName name="Z_EC8C8835_5583_4064_B271_515F1EF60614_.wvu.FilterData" localSheetId="0" hidden="1">' внеочер. февраль'!$A$8:$E$1370</definedName>
    <definedName name="Z_ED35C553_5FBE_458D_9118_16F477AF79B6_.wvu.FilterData" localSheetId="0" hidden="1">' внеочер. февраль'!$A$9:$E$1370</definedName>
    <definedName name="Z_ED76BC29_0CBB_4101_99B0_A1A333FCBE9B_.wvu.FilterData" localSheetId="0" hidden="1">' внеочер. февраль'!$A$9:$F$1370</definedName>
    <definedName name="Z_EDBEA8C5_0DD1_42AA_94B8_5FD61CE65F4F_.wvu.FilterData" localSheetId="0" hidden="1">' внеочер. февраль'!$A$9:$E$1370</definedName>
    <definedName name="Z_EDECBEEC_D84B_4F79_A997_F51470E83DAB_.wvu.FilterData" localSheetId="0" hidden="1">' внеочер. февраль'!$A$8:$E$1370</definedName>
    <definedName name="Z_EE3155DE_BC0B_49CD_BDF0_746DEB948972_.wvu.FilterData" localSheetId="0" hidden="1">' внеочер. февраль'!$A$9:$E$1370</definedName>
    <definedName name="Z_EEC8C608_28E8_4B26_B829_25A60D5925AD_.wvu.FilterData" localSheetId="0" hidden="1">' внеочер. февраль'!$A$8:$F$1370</definedName>
    <definedName name="Z_EF2DBCF5_9850_47A1_A5E3_8553938B54BF_.wvu.FilterData" localSheetId="0" hidden="1">' внеочер. февраль'!$A$9:$E$1370</definedName>
    <definedName name="Z_EFA82113_93B5_482F_BF4C_FC1BFBB75D3B_.wvu.FilterData" localSheetId="0" hidden="1">' внеочер. февраль'!$A$8:$F$1370</definedName>
    <definedName name="Z_EFC088C1_C9EF_4E1B_B226_56F6F6C84997_.wvu.FilterData" localSheetId="0" hidden="1">' внеочер. февраль'!$A$9:$O$1370</definedName>
    <definedName name="Z_EFE8565A_7BCE_453E_AD50_F184A7256D62_.wvu.FilterData" localSheetId="0" hidden="1">' внеочер. февраль'!$A$9:$E$1370</definedName>
    <definedName name="Z_F091134A_896A_4EF5_86D7_557DE36A810D_.wvu.FilterData" localSheetId="0" hidden="1">' внеочер. февраль'!$A$9:$E$1370</definedName>
    <definedName name="Z_F0FFDD84_85A5_4504_85D6_569D012B7C37_.wvu.FilterData" localSheetId="0" hidden="1">' внеочер. февраль'!$A$9:$E$1370</definedName>
    <definedName name="Z_F118434D_0869_4634_A34A_6AE35370D81D_.wvu.FilterData" localSheetId="0" hidden="1">' внеочер. февраль'!$A$9:$F$1370</definedName>
    <definedName name="Z_F1C15E66_A7AE_420A_9109_99743419E739_.wvu.FilterData" localSheetId="0" hidden="1">' внеочер. февраль'!$A$10:$E$1370</definedName>
    <definedName name="Z_F20C48EE_3970_4071_A8F6_8F8FF9AF28A7_.wvu.FilterData" localSheetId="0" hidden="1">' внеочер. февраль'!$A$9:$E$1370</definedName>
    <definedName name="Z_F223894C_8E3D_4C28_A2B6_07370B1D40D0_.wvu.FilterData" localSheetId="0" hidden="1">' внеочер. февраль'!$A$10:$F$1370</definedName>
    <definedName name="Z_F328F21B_148E_494B_8417_D0EE04E337A3_.wvu.FilterData" localSheetId="0" hidden="1">' внеочер. февраль'!$A$9:$O$1370</definedName>
    <definedName name="Z_F42C0A6F_BD26_4B73_9654_6B0FE4F4C6D3_.wvu.FilterData" localSheetId="0" hidden="1">' внеочер. февраль'!$A$9:$E$1370</definedName>
    <definedName name="Z_F42C0A6F_BD26_4B73_9654_6B0FE4F4C6D3_.wvu.PrintArea" localSheetId="0" hidden="1">' внеочер. февраль'!$A$6:$E$1370</definedName>
    <definedName name="Z_F42C0A6F_BD26_4B73_9654_6B0FE4F4C6D3_.wvu.PrintTitles" localSheetId="0" hidden="1">' внеочер. февраль'!$8:$9</definedName>
    <definedName name="Z_F4610602_EAC2_4FB3_8008_EE3662823ABA_.wvu.FilterData" localSheetId="0" hidden="1">' внеочер. февраль'!$A$9:$E$1370</definedName>
    <definedName name="Z_F47F1B02_5CEB_4BBE_A8CB_98E820192C81_.wvu.FilterData" localSheetId="0" hidden="1">' внеочер. февраль'!$A$8:$E$1370</definedName>
    <definedName name="Z_F5A3A2FB_3733_44B2_B6C2_82EDF5CB3713_.wvu.FilterData" localSheetId="0" hidden="1">' внеочер. февраль'!$A$9:$E$1370</definedName>
    <definedName name="Z_F5A5DF14_70F2_4801_A243_0E8651F331EB_.wvu.FilterData" localSheetId="0" hidden="1">' внеочер. февраль'!$A$8:$E$1370</definedName>
    <definedName name="Z_F5CB4044_1925_4445_A0C2_5C2781D98584_.wvu.FilterData" localSheetId="0" hidden="1">' внеочер. февраль'!$A$9:$E$1370</definedName>
    <definedName name="Z_F5D86516_8039_4EA1_9706_8C2BEDF4441B_.wvu.FilterData" localSheetId="0" hidden="1">' внеочер. февраль'!$A$9:$E$1370</definedName>
    <definedName name="Z_F645115D_6A25_470F_8CA0_FFCD9F7DBB39_.wvu.FilterData" localSheetId="0" hidden="1">' внеочер. февраль'!$A$9:$E$1370</definedName>
    <definedName name="Z_F68C9964_C9DB_4A96_BE62_F525AE5B0CD1_.wvu.FilterData" localSheetId="0" hidden="1">' внеочер. февраль'!$A$10:$F$1370</definedName>
    <definedName name="Z_F6E2E70D_273B_4DE0_B3E0_DAB29D3E4041_.wvu.FilterData" localSheetId="0" hidden="1">' внеочер. февраль'!$A$9:$E$1370</definedName>
    <definedName name="Z_F6EE4944_6228_48E0_9079_29F248BA1D2C_.wvu.FilterData" localSheetId="0" hidden="1">' внеочер. февраль'!$A$9:$E$1370</definedName>
    <definedName name="Z_F795B458_D6B7_4143_91CB_42FFCED84FE2_.wvu.FilterData" localSheetId="0" hidden="1">' внеочер. февраль'!$A$8:$H$1370</definedName>
    <definedName name="Z_F7E4D7EC_1A0A_47B2_A762_DBF446C425ED_.wvu.FilterData" localSheetId="0" hidden="1">' внеочер. февраль'!$A$9:$E$1370</definedName>
    <definedName name="Z_F8023798_0603_488E_9203_BAB0BA0FF97D_.wvu.FilterData" localSheetId="0" hidden="1">' внеочер. февраль'!$A$10:$F$1370</definedName>
    <definedName name="Z_F8091499_9C95_4EF3_ABA0_673CDB54420B_.wvu.FilterData" localSheetId="0" hidden="1">' внеочер. февраль'!$A$8:$H$1370</definedName>
    <definedName name="Z_F833F6A8_E5D2_4E0C_97B6_9FB2FCD64BA4_.wvu.FilterData" localSheetId="0" hidden="1">' внеочер. февраль'!$A$9:$E$1370</definedName>
    <definedName name="Z_F9266D80_58B6_4EE9_8C73_03CC3ACB478F_.wvu.FilterData" localSheetId="0" hidden="1">' внеочер. февраль'!$A$9:$E$1370</definedName>
    <definedName name="Z_F9E448BC_F90A_4337_803F_2631DF47DD80_.wvu.FilterData" localSheetId="0" hidden="1">' внеочер. февраль'!$A$9:$F$1370</definedName>
    <definedName name="Z_F9F42A09_EE62_41BD_8BC3_D1DBB241044D_.wvu.FilterData" localSheetId="0" hidden="1">' внеочер. февраль'!$A$10:$F$1370</definedName>
    <definedName name="Z_FA62AA11_F287_48D6_ABA0_AF77081BC598_.wvu.FilterData" localSheetId="0" hidden="1">' внеочер. февраль'!$A$10:$E$1370</definedName>
    <definedName name="Z_FB9C8C90_A805_4AEC_A5B5_69C7F0811B18_.wvu.FilterData" localSheetId="0" hidden="1">' внеочер. февраль'!$A$9:$E$1370</definedName>
    <definedName name="Z_FC56594E_381B_4123_9B3B_6515BF77E5B2_.wvu.FilterData" localSheetId="0" hidden="1">' внеочер. февраль'!$A$8:$O$1234</definedName>
    <definedName name="Z_FC70B1FA_E377_4EBD_8A33_0404274F5B2D_.wvu.FilterData" localSheetId="0" hidden="1">' внеочер. февраль'!$A$9:$F$1370</definedName>
    <definedName name="Z_FD7995AA_D95C_47E6_8EBB_D69D058536EE_.wvu.FilterData" localSheetId="0" hidden="1">' внеочер. февраль'!$A$9:$E$1370</definedName>
    <definedName name="Z_FDAFDBFD_E670_471B_A06D_6250B9242800_.wvu.FilterData" localSheetId="0" hidden="1">' внеочер. февраль'!$A$9:$O$1370</definedName>
    <definedName name="Z_FDAFDBFD_E670_471B_A06D_6250B9242800_.wvu.PrintArea" localSheetId="0" hidden="1">' внеочер. февраль'!$A$5:$E$1370</definedName>
    <definedName name="Z_FDAFDBFD_E670_471B_A06D_6250B9242800_.wvu.PrintTitles" localSheetId="0" hidden="1">' внеочер. февраль'!$8:$9</definedName>
    <definedName name="Z_FDE99884_24FF_4316_A5D3_57535EEE1081_.wvu.FilterData" localSheetId="0" hidden="1">' внеочер. февраль'!$A$8:$H$1370</definedName>
    <definedName name="Z_FE2A6E80_6EAA_4B6C_888E_586096FF3773_.wvu.FilterData" localSheetId="0" hidden="1">' внеочер. февраль'!$A$9:$F$1370</definedName>
    <definedName name="Z_FE4FF6BA_9EC9_4B6C_A3FE_AEB64663DE5D_.wvu.FilterData" localSheetId="0" hidden="1">' внеочер. февраль'!$A$9:$O$1370</definedName>
    <definedName name="Z_FE6E254E_3F66_4AD3_9579_1807125E1701_.wvu.FilterData" localSheetId="0" hidden="1">' внеочер. февраль'!$A$8:$E$1370</definedName>
    <definedName name="Z_FE6E254E_3F66_4AD3_9579_1807125E1701_.wvu.PrintArea" localSheetId="0" hidden="1">' внеочер. февраль'!$A$6:$E$1370</definedName>
    <definedName name="Z_FE6E254E_3F66_4AD3_9579_1807125E1701_.wvu.PrintTitles" localSheetId="0" hidden="1">' внеочер. февраль'!$8:$9</definedName>
    <definedName name="Z_FE871B01_CD95_4155_A1F5_8B0EE32F9532_.wvu.FilterData" localSheetId="0" hidden="1">' внеочер. февраль'!$A$10:$F$1370</definedName>
    <definedName name="Z_FEC89970_27F5_4D36_96FF_3A5788FF3D8F_.wvu.FilterData" localSheetId="0" hidden="1">' внеочер. февраль'!$A$9:$N$1370</definedName>
    <definedName name="Z_FEDD3FB0_305C_401D_8840_5AF2E5EFD567_.wvu.FilterData" localSheetId="0" hidden="1">' внеочер. февраль'!$A$8:$E$1370</definedName>
    <definedName name="Z_FF9DAD72_F7E5_4332_A8DC_E4AD05225142_.wvu.FilterData" localSheetId="0" hidden="1">' внеочер. февраль'!$A$10:$F$1370</definedName>
    <definedName name="_xlnm.Print_Titles" localSheetId="0">' внеочер. февраль'!$8:$9</definedName>
    <definedName name="_xlnm.Print_Area" localSheetId="0">' внеочер. февраль'!$A$1:$E$1370</definedName>
  </definedNames>
  <calcPr calcId="144525"/>
  <customWorkbookViews>
    <customWorkbookView name="fin-4053 - Личное представление" guid="{86B6327A-D95E-49B1-8495-020918419947}" mergeInterval="0" personalView="1" maximized="1" xWindow="1" yWindow="1" windowWidth="1805" windowHeight="724" activeSheetId="1"/>
    <customWorkbookView name="Людмила Л. Панова - Личное представление" guid="{C09ED9C7-3F01-41B0-B9A2-04AF31DFAE98}" mergeInterval="0" personalView="1" maximized="1" windowWidth="1916" windowHeight="854" activeSheetId="1"/>
    <customWorkbookView name="Оксана Д. Скрябина - Личное представление" guid="{0777C1F0-68CA-406D-AEAD-8EB7655E0D6B}" mergeInterval="0" personalView="1" maximized="1" windowWidth="1902" windowHeight="842" activeSheetId="1"/>
    <customWorkbookView name="Виктория В. Москаленко - Личное представление" guid="{FDAFDBFD-E670-471B-A06D-6250B9242800}" mergeInterval="0" personalView="1" maximized="1" windowWidth="1916" windowHeight="854" activeSheetId="1"/>
    <customWorkbookView name="Екатерина В. Баженова - Личное представление" guid="{E344FFFC-2F72-4250-8418-4C2411576425}" mergeInterval="0" personalView="1" maximized="1" windowWidth="1916" windowHeight="834" activeSheetId="1"/>
    <customWorkbookView name="Ольга С. Цыганова - Личное представление" guid="{28A1FD03-A5C7-4A3B-AC03-95109F344E22}" mergeInterval="0" personalView="1" maximized="1" windowWidth="1916" windowHeight="854" activeSheetId="1"/>
    <customWorkbookView name="Ольга В. Гонтова - Личное представление" guid="{E303D358-6406-440B-A615-9B73958D0CB0}" mergeInterval="0" personalView="1" maximized="1" windowWidth="1276" windowHeight="798" activeSheetId="1"/>
    <customWorkbookView name="Людмила В. Латышева - Личное представление" guid="{19E46B29-C592-4B3F-A91F-B8732C713E57}" mergeInterval="0" personalView="1" maximized="1" windowWidth="1916" windowHeight="854" activeSheetId="1"/>
    <customWorkbookView name="Марина А. Степина - Личное представление" guid="{00EC5F95-F687-40DD-A5AB-E9BE9E2F09F8}" mergeInterval="0" personalView="1" maximized="1" windowWidth="1916" windowHeight="854" activeSheetId="1"/>
    <customWorkbookView name="fin-4072 - Личное представление" guid="{1E977AF4-45CE-4456-9162-5BF3FC24D34F}" mergeInterval="0" personalView="1" maximized="1" xWindow="1" yWindow="1" windowWidth="1920" windowHeight="850" activeSheetId="1"/>
    <customWorkbookView name="Юлия Н. Овчинникова - Личное представление" guid="{AB224E00-A482-4F7C-9734-C14220AE4CA7}" mergeInterval="0" personalView="1" maximized="1" windowWidth="1904" windowHeight="775" activeSheetId="1"/>
    <customWorkbookView name="Ольга С. Маевская - Личное представление" guid="{3E1D52C5-C4F7-441A-9B7D-77012DD3914F}" mergeInterval="0" personalView="1" maximized="1" windowWidth="1220" windowHeight="670" activeSheetId="1"/>
    <customWorkbookView name="Fin-4062 - Личное представление" guid="{020321F6-F7FF-4FC7-B12D-B602256B30DC}" mergeInterval="0" personalView="1" maximized="1" xWindow="1" yWindow="1" windowWidth="1920" windowHeight="859" activeSheetId="1"/>
    <customWorkbookView name="Галина В. Рябова - Личное представление" guid="{3607013D-7186-43D3-B8F6-63E8BBE1CEE0}" mergeInterval="0" personalView="1" maximized="1" windowWidth="1020" windowHeight="489" activeSheetId="1"/>
    <customWorkbookView name="FIN-4084 - Личное представление" guid="{0355C0A4-9302-4FEB-A63D-AED81E52A097}" mergeInterval="0" personalView="1" maximized="1" xWindow="1" yWindow="1" windowWidth="1024" windowHeight="543" activeSheetId="1"/>
    <customWorkbookView name="fin-4073 - Личное представление" guid="{F42C0A6F-BD26-4B73-9654-6B0FE4F4C6D3}" mergeInterval="0" personalView="1" maximized="1" xWindow="1" yWindow="1" windowWidth="1024" windowHeight="547" activeSheetId="1"/>
    <customWorkbookView name="fin-4063 - Личное представление" guid="{25313F6C-0BD5-49DE-963E-79249C5612D6}" mergeInterval="0" personalView="1" maximized="1" windowWidth="1916" windowHeight="854" activeSheetId="1"/>
    <customWorkbookView name="fin-4082 - Личное представление" guid="{3FE81BD2-B88F-4CC3-8281-B0B77BB2E660}" mergeInterval="0" personalView="1" maximized="1" xWindow="1" yWindow="1" windowWidth="1600" windowHeight="679" activeSheetId="1"/>
    <customWorkbookView name="Овчинникова - Личное представление" guid="{FE6E254E-3F66-4AD3-9579-1807125E1701}" mergeInterval="0" personalView="1" maximized="1" windowWidth="1020" windowHeight="435" activeSheetId="1"/>
    <customWorkbookView name="gricuk_a - Личное представление" guid="{398D7CDB-D036-411D-81D9-55360A2845F2}" mergeInterval="0" personalView="1" maximized="1" windowWidth="1181" windowHeight="794" activeSheetId="1"/>
    <customWorkbookView name="GEG - Личное представление" guid="{9C62391A-362D-4258-A55F-BA1B24D0FC9E}" mergeInterval="0" personalView="1" maximized="1" xWindow="1" yWindow="1" windowWidth="1600" windowHeight="675" activeSheetId="1"/>
    <customWorkbookView name="Наталья А. Казакова - Личное представление" guid="{A8980C08-21F3-4918-87BB-9AA281AC46F8}" mergeInterval="0" personalView="1" maximized="1" windowWidth="1916" windowHeight="794" activeSheetId="1"/>
    <customWorkbookView name="Елена И. Комогорцева - Личное представление" guid="{376855A5-AFF6-481E-B156-9B19CA778CE6}" mergeInterval="0" personalView="1" maximized="1" windowWidth="1596" windowHeight="894" activeSheetId="1"/>
    <customWorkbookView name="Юлия Александровна Федчук - Личное представление" guid="{A0858176-AE4A-4511-8CCA-CDAF5FF4EC9F}" mergeInterval="0" personalView="1" maximized="1" windowWidth="1916" windowHeight="854" activeSheetId="1"/>
    <customWorkbookView name="Вишницкая Ольга Анатольевна - Личное представление" guid="{394876B8-51E0-4735-B1F1-B81B4F39A604}" mergeInterval="0" personalView="1" maximized="1" windowWidth="1916" windowHeight="754" activeSheetId="1"/>
    <customWorkbookView name="Мария Л. Хегай - Личное представление" guid="{76DA0934-094B-4E57-AB12-DC56A1829BFE}" mergeInterval="0" personalView="1" maximized="1" windowWidth="1916" windowHeight="834" activeSheetId="1"/>
    <customWorkbookView name="Наталья Н. Цвик - Личное представление" guid="{A37816EC-B19A-42AC-9856-7637F134F4B4}" mergeInterval="0" personalView="1" maximized="1" windowWidth="1916" windowHeight="794" activeSheetId="1"/>
    <customWorkbookView name="Константин А. Бобылев - Личное представление" guid="{3AAAC2B4-14B8-4114-A767-33D481AE1E15}" mergeInterval="0" personalView="1" maximized="1" windowWidth="1916" windowHeight="834" activeSheetId="1"/>
    <customWorkbookView name="Марина В. Цыбулина - Личное представление" guid="{CBDD0E3F-6FEE-4397-810C-A899A667AC6E}" mergeInterval="0" personalView="1" maximized="1" windowWidth="1676" windowHeight="832" activeSheetId="1"/>
  </customWorkbookViews>
</workbook>
</file>

<file path=xl/calcChain.xml><?xml version="1.0" encoding="utf-8"?>
<calcChain xmlns="http://schemas.openxmlformats.org/spreadsheetml/2006/main">
  <c r="E199" i="1" l="1"/>
  <c r="E1026" i="1" l="1"/>
  <c r="E547" i="1" l="1"/>
  <c r="E528" i="1"/>
  <c r="E527" i="1" s="1"/>
  <c r="E539" i="1"/>
  <c r="E524" i="1"/>
  <c r="E509" i="1"/>
  <c r="E535" i="1"/>
  <c r="E1267" i="1"/>
  <c r="E1264" i="1"/>
  <c r="E593" i="1"/>
  <c r="E1318" i="1" l="1"/>
  <c r="E570" i="1"/>
  <c r="E184" i="1"/>
  <c r="E1266" i="1" l="1"/>
  <c r="E1263" i="1"/>
  <c r="E638" i="1" l="1"/>
  <c r="E602" i="1" l="1"/>
  <c r="E609" i="1"/>
  <c r="E837" i="1" l="1"/>
  <c r="E831" i="1"/>
  <c r="E830" i="1"/>
  <c r="E1305" i="1"/>
  <c r="E1206" i="1"/>
  <c r="E1205" i="1"/>
  <c r="E1204" i="1" s="1"/>
  <c r="E1188" i="1"/>
  <c r="E1203" i="1"/>
  <c r="E1161" i="1"/>
  <c r="E1314" i="1"/>
  <c r="E1313" i="1" s="1"/>
  <c r="E677" i="1"/>
  <c r="E44" i="1"/>
  <c r="E484" i="1"/>
  <c r="E1339" i="1"/>
  <c r="E1346" i="1"/>
  <c r="E1073" i="1"/>
  <c r="E1080" i="1"/>
  <c r="E682" i="1"/>
  <c r="E179" i="1"/>
  <c r="E150" i="1"/>
  <c r="E789" i="1"/>
  <c r="E904" i="1"/>
  <c r="E802" i="1"/>
  <c r="E163" i="1"/>
  <c r="E155" i="1"/>
  <c r="E1355" i="1"/>
  <c r="E796" i="1"/>
  <c r="E826" i="1"/>
  <c r="E572" i="1"/>
  <c r="E560" i="1"/>
  <c r="E595" i="1"/>
  <c r="E1068" i="1"/>
  <c r="E1032" i="1"/>
  <c r="E1033" i="1"/>
  <c r="E1035" i="1"/>
  <c r="E1034" i="1" s="1"/>
  <c r="E1023" i="1"/>
  <c r="E1024" i="1"/>
  <c r="E650" i="1"/>
  <c r="E647" i="1"/>
  <c r="E1020" i="1"/>
  <c r="E1017" i="1"/>
  <c r="E799" i="1"/>
  <c r="E794" i="1"/>
  <c r="E731" i="1"/>
  <c r="E847" i="1"/>
  <c r="E267" i="1"/>
  <c r="E268" i="1"/>
  <c r="E275" i="1"/>
  <c r="E274" i="1" s="1"/>
  <c r="E309" i="1"/>
  <c r="E191" i="1"/>
  <c r="E167" i="1"/>
  <c r="E298" i="1"/>
  <c r="E449" i="1"/>
  <c r="E452" i="1"/>
  <c r="E83" i="1"/>
  <c r="E1043" i="1"/>
  <c r="E854" i="1"/>
  <c r="E74" i="1"/>
  <c r="E27" i="1"/>
  <c r="E248" i="1"/>
  <c r="E245" i="1"/>
  <c r="E96" i="1"/>
  <c r="E419" i="1"/>
  <c r="E966" i="1"/>
  <c r="E1238" i="1"/>
  <c r="E758" i="1"/>
  <c r="E757" i="1"/>
  <c r="E709" i="1"/>
  <c r="E708" i="1"/>
  <c r="E819" i="1"/>
  <c r="E818" i="1"/>
  <c r="E773" i="1"/>
  <c r="E749" i="1"/>
  <c r="E748" i="1"/>
  <c r="E395" i="1"/>
  <c r="E394" i="1"/>
  <c r="E619" i="1" l="1"/>
  <c r="E588" i="1"/>
  <c r="E327" i="1"/>
  <c r="E326" i="1" s="1"/>
  <c r="E371" i="1"/>
  <c r="E587" i="1"/>
  <c r="E1007" i="1"/>
  <c r="E958" i="1"/>
  <c r="E953" i="1"/>
  <c r="E585" i="1"/>
  <c r="E582" i="1"/>
  <c r="E519" i="1"/>
  <c r="E510" i="1"/>
  <c r="E504" i="1"/>
  <c r="E502" i="1"/>
  <c r="E507" i="1"/>
  <c r="E1330" i="1"/>
  <c r="E325" i="1"/>
  <c r="E370" i="1" l="1"/>
  <c r="E69" i="1"/>
  <c r="E646" i="1"/>
  <c r="E375" i="1"/>
  <c r="E373" i="1"/>
  <c r="E649" i="1"/>
  <c r="E648" i="1" s="1"/>
  <c r="E249" i="1" l="1"/>
  <c r="E661" i="1"/>
  <c r="E479" i="1"/>
  <c r="E445" i="1"/>
  <c r="E403" i="1"/>
  <c r="E233" i="1"/>
  <c r="E393" i="1"/>
  <c r="E392" i="1" s="1"/>
  <c r="E391" i="1" s="1"/>
  <c r="E668" i="1"/>
  <c r="E116" i="1"/>
  <c r="E1262" i="1"/>
  <c r="E330" i="1"/>
  <c r="E332" i="1"/>
  <c r="E328" i="1"/>
  <c r="E211" i="1" l="1"/>
  <c r="E210" i="1" s="1"/>
  <c r="E642" i="1" l="1"/>
  <c r="E641" i="1" s="1"/>
  <c r="E625" i="1" l="1"/>
  <c r="E623" i="1"/>
  <c r="E617" i="1"/>
  <c r="E614" i="1"/>
  <c r="E138" i="1" l="1"/>
  <c r="E312" i="1" l="1"/>
  <c r="E308" i="1"/>
  <c r="E1124" i="1"/>
  <c r="E1123" i="1" s="1"/>
  <c r="E1122" i="1" s="1"/>
  <c r="E1121" i="1" s="1"/>
  <c r="E859" i="1"/>
  <c r="E858" i="1" s="1"/>
  <c r="E857" i="1" s="1"/>
  <c r="E856" i="1" s="1"/>
  <c r="E855" i="1" s="1"/>
  <c r="E853" i="1"/>
  <c r="E852" i="1" s="1"/>
  <c r="E851" i="1" s="1"/>
  <c r="E103" i="1"/>
  <c r="E105" i="1"/>
  <c r="E34" i="1"/>
  <c r="E39" i="1"/>
  <c r="E38" i="1"/>
  <c r="E37" i="1" s="1"/>
  <c r="E36" i="1" s="1"/>
  <c r="E35" i="1" s="1"/>
  <c r="E850" i="1" l="1"/>
  <c r="E338" i="1" l="1"/>
  <c r="E1138" i="1" l="1"/>
  <c r="E960" i="1" l="1"/>
  <c r="E959" i="1"/>
  <c r="E365" i="1" l="1"/>
  <c r="E360" i="1"/>
  <c r="E355" i="1"/>
  <c r="E354" i="1" s="1"/>
  <c r="E352" i="1"/>
  <c r="E349" i="1"/>
  <c r="E127" i="1" l="1"/>
  <c r="E1364" i="1"/>
  <c r="E78" i="1"/>
  <c r="E1070" i="1" l="1"/>
  <c r="E185" i="1" l="1"/>
  <c r="E186" i="1"/>
  <c r="E1323" i="1" l="1"/>
  <c r="E384" i="1"/>
  <c r="E383" i="1" s="1"/>
  <c r="E382" i="1" s="1"/>
  <c r="E381" i="1" s="1"/>
  <c r="E577" i="1" l="1"/>
  <c r="E1282" i="1" l="1"/>
  <c r="E1281" i="1" s="1"/>
  <c r="E893" i="1" l="1"/>
  <c r="E190" i="1" l="1"/>
  <c r="E544" i="1" l="1"/>
  <c r="E141" i="1" l="1"/>
  <c r="E142" i="1"/>
  <c r="E162" i="1"/>
  <c r="E755" i="1" l="1"/>
  <c r="E319" i="1"/>
  <c r="E1368" i="1" l="1"/>
  <c r="E1367" i="1" s="1"/>
  <c r="E1366" i="1" s="1"/>
  <c r="E1365" i="1" s="1"/>
  <c r="E1363" i="1"/>
  <c r="E1362" i="1" s="1"/>
  <c r="E1360" i="1"/>
  <c r="E1359" i="1" s="1"/>
  <c r="E1354" i="1"/>
  <c r="E1352" i="1"/>
  <c r="E1345" i="1"/>
  <c r="E1344" i="1" s="1"/>
  <c r="E1343" i="1" s="1"/>
  <c r="E1342" i="1" s="1"/>
  <c r="E1338" i="1"/>
  <c r="E1337" i="1" s="1"/>
  <c r="E1335" i="1"/>
  <c r="E1333" i="1"/>
  <c r="E1329" i="1"/>
  <c r="E1327" i="1"/>
  <c r="E1322" i="1"/>
  <c r="E1320" i="1"/>
  <c r="E1315" i="1"/>
  <c r="E1310" i="1"/>
  <c r="E1308" i="1"/>
  <c r="E1306" i="1"/>
  <c r="E1304" i="1"/>
  <c r="E1298" i="1"/>
  <c r="E1297" i="1" s="1"/>
  <c r="E1296" i="1" s="1"/>
  <c r="E1294" i="1"/>
  <c r="E1293" i="1" s="1"/>
  <c r="E1292" i="1" s="1"/>
  <c r="E1291" i="1" s="1"/>
  <c r="E1288" i="1"/>
  <c r="E1280" i="1"/>
  <c r="E1278" i="1"/>
  <c r="E1277" i="1" s="1"/>
  <c r="E1275" i="1"/>
  <c r="E1274" i="1" s="1"/>
  <c r="E1272" i="1"/>
  <c r="E1270" i="1"/>
  <c r="E1261" i="1"/>
  <c r="E1259" i="1"/>
  <c r="E1254" i="1"/>
  <c r="E1252" i="1"/>
  <c r="E1250" i="1"/>
  <c r="E1245" i="1"/>
  <c r="E1244" i="1" s="1"/>
  <c r="E1237" i="1"/>
  <c r="E1236" i="1"/>
  <c r="E1230" i="1"/>
  <c r="E1229" i="1" s="1"/>
  <c r="E1228" i="1" s="1"/>
  <c r="E1226" i="1"/>
  <c r="E1224" i="1"/>
  <c r="E1221" i="1"/>
  <c r="E1219" i="1"/>
  <c r="E1217" i="1"/>
  <c r="E1215" i="1"/>
  <c r="E1213" i="1"/>
  <c r="E1209" i="1"/>
  <c r="E1208" i="1" s="1"/>
  <c r="E1207" i="1" s="1"/>
  <c r="E1202" i="1"/>
  <c r="E1201" i="1" s="1"/>
  <c r="E1199" i="1"/>
  <c r="E1198" i="1" s="1"/>
  <c r="E1196" i="1"/>
  <c r="E1195" i="1" s="1"/>
  <c r="E1193" i="1"/>
  <c r="E1192" i="1" s="1"/>
  <c r="E1190" i="1"/>
  <c r="E1189" i="1" s="1"/>
  <c r="E1187" i="1"/>
  <c r="E1186" i="1" s="1"/>
  <c r="E1184" i="1"/>
  <c r="E1183" i="1" s="1"/>
  <c r="E1181" i="1"/>
  <c r="E1180" i="1" s="1"/>
  <c r="E1178" i="1"/>
  <c r="E1177" i="1" s="1"/>
  <c r="E1175" i="1"/>
  <c r="E1174" i="1" s="1"/>
  <c r="E1172" i="1"/>
  <c r="E1171" i="1" s="1"/>
  <c r="E1169" i="1"/>
  <c r="E1168" i="1" s="1"/>
  <c r="E1166" i="1"/>
  <c r="E1165" i="1" s="1"/>
  <c r="E1163" i="1"/>
  <c r="E1162" i="1" s="1"/>
  <c r="E1160" i="1"/>
  <c r="E1159" i="1" s="1"/>
  <c r="E1156" i="1"/>
  <c r="E1155" i="1" s="1"/>
  <c r="E1153" i="1"/>
  <c r="E1152" i="1" s="1"/>
  <c r="E1149" i="1"/>
  <c r="E1147" i="1"/>
  <c r="E1145" i="1"/>
  <c r="E1143" i="1"/>
  <c r="E1142" i="1"/>
  <c r="E1141" i="1" s="1"/>
  <c r="E1139" i="1"/>
  <c r="E1137" i="1"/>
  <c r="E1132" i="1"/>
  <c r="E1130" i="1"/>
  <c r="E1128" i="1"/>
  <c r="E1117" i="1"/>
  <c r="E1116" i="1"/>
  <c r="E1115" i="1"/>
  <c r="E1114" i="1"/>
  <c r="E1108" i="1"/>
  <c r="E1104" i="1"/>
  <c r="E1100" i="1"/>
  <c r="E1097" i="1"/>
  <c r="E1096" i="1"/>
  <c r="E1095" i="1" s="1"/>
  <c r="E1092" i="1"/>
  <c r="E1091" i="1" s="1"/>
  <c r="E1090" i="1" s="1"/>
  <c r="E1089" i="1" s="1"/>
  <c r="E1085" i="1"/>
  <c r="E1079" i="1"/>
  <c r="E1078" i="1" s="1"/>
  <c r="E1077" i="1" s="1"/>
  <c r="E1076" i="1" s="1"/>
  <c r="E1072" i="1"/>
  <c r="E1071" i="1" s="1"/>
  <c r="E1069" i="1"/>
  <c r="E1067" i="1"/>
  <c r="E1064" i="1"/>
  <c r="E1063" i="1" s="1"/>
  <c r="E1060" i="1"/>
  <c r="E1059" i="1" s="1"/>
  <c r="E1058" i="1" s="1"/>
  <c r="E1056" i="1"/>
  <c r="E1055" i="1" s="1"/>
  <c r="E1054" i="1" s="1"/>
  <c r="E1052" i="1"/>
  <c r="E1051" i="1" s="1"/>
  <c r="E1050" i="1" s="1"/>
  <c r="E1047" i="1"/>
  <c r="E1046" i="1" s="1"/>
  <c r="E1045" i="1" s="1"/>
  <c r="E1044" i="1" s="1"/>
  <c r="E1042" i="1"/>
  <c r="E1040" i="1"/>
  <c r="E1031" i="1"/>
  <c r="E1030" i="1" s="1"/>
  <c r="E1028" i="1"/>
  <c r="E1025" i="1" s="1"/>
  <c r="E1022" i="1"/>
  <c r="E1021" i="1" s="1"/>
  <c r="E1019" i="1"/>
  <c r="E1018" i="1" s="1"/>
  <c r="E1016" i="1"/>
  <c r="E1015" i="1"/>
  <c r="E1008" i="1"/>
  <c r="E1006" i="1"/>
  <c r="E1005" i="1" s="1"/>
  <c r="E1002" i="1"/>
  <c r="E1001" i="1" s="1"/>
  <c r="E1000" i="1" s="1"/>
  <c r="E999" i="1" s="1"/>
  <c r="E998" i="1"/>
  <c r="E997" i="1"/>
  <c r="E993" i="1"/>
  <c r="E992" i="1" s="1"/>
  <c r="E991" i="1" s="1"/>
  <c r="E990" i="1" s="1"/>
  <c r="E989" i="1"/>
  <c r="E988" i="1" s="1"/>
  <c r="E987" i="1" s="1"/>
  <c r="E986" i="1"/>
  <c r="E985" i="1" s="1"/>
  <c r="E984" i="1" s="1"/>
  <c r="E982" i="1"/>
  <c r="E981" i="1" s="1"/>
  <c r="E980" i="1" s="1"/>
  <c r="E979" i="1" s="1"/>
  <c r="E977" i="1"/>
  <c r="E976" i="1" s="1"/>
  <c r="E975" i="1" s="1"/>
  <c r="E974" i="1" s="1"/>
  <c r="E973" i="1" s="1"/>
  <c r="E972" i="1"/>
  <c r="E971" i="1" s="1"/>
  <c r="E970" i="1"/>
  <c r="E969" i="1" s="1"/>
  <c r="E965" i="1"/>
  <c r="E964" i="1"/>
  <c r="E963" i="1" s="1"/>
  <c r="E955" i="1"/>
  <c r="E954" i="1"/>
  <c r="E949" i="1"/>
  <c r="E948" i="1" s="1"/>
  <c r="E947" i="1" s="1"/>
  <c r="E946" i="1" s="1"/>
  <c r="E945" i="1"/>
  <c r="E944" i="1" s="1"/>
  <c r="E943" i="1" s="1"/>
  <c r="E942" i="1"/>
  <c r="E941" i="1" s="1"/>
  <c r="E940" i="1"/>
  <c r="E939" i="1" s="1"/>
  <c r="E938" i="1"/>
  <c r="E937" i="1" s="1"/>
  <c r="E934" i="1"/>
  <c r="E933" i="1" s="1"/>
  <c r="E932" i="1" s="1"/>
  <c r="E931" i="1"/>
  <c r="E930" i="1" s="1"/>
  <c r="E929" i="1" s="1"/>
  <c r="E927" i="1"/>
  <c r="E926" i="1" s="1"/>
  <c r="E925" i="1"/>
  <c r="E924" i="1" s="1"/>
  <c r="E922" i="1"/>
  <c r="E921" i="1" s="1"/>
  <c r="E920" i="1"/>
  <c r="E919" i="1" s="1"/>
  <c r="E918" i="1"/>
  <c r="E917" i="1" s="1"/>
  <c r="E915" i="1"/>
  <c r="E914" i="1" s="1"/>
  <c r="E913" i="1" s="1"/>
  <c r="E911" i="1"/>
  <c r="E910" i="1"/>
  <c r="E909" i="1" s="1"/>
  <c r="E903" i="1"/>
  <c r="E902" i="1" s="1"/>
  <c r="E900" i="1"/>
  <c r="E899" i="1" s="1"/>
  <c r="E897" i="1"/>
  <c r="E896" i="1" s="1"/>
  <c r="E892" i="1"/>
  <c r="E891" i="1" s="1"/>
  <c r="E889" i="1"/>
  <c r="E888" i="1" s="1"/>
  <c r="E887" i="1" s="1"/>
  <c r="E884" i="1"/>
  <c r="E883" i="1"/>
  <c r="E882" i="1"/>
  <c r="E880" i="1"/>
  <c r="E879" i="1"/>
  <c r="E876" i="1"/>
  <c r="E875" i="1" s="1"/>
  <c r="E874" i="1" s="1"/>
  <c r="E872" i="1"/>
  <c r="E871" i="1"/>
  <c r="E870" i="1"/>
  <c r="E869" i="1"/>
  <c r="E866" i="1"/>
  <c r="E865" i="1"/>
  <c r="E848" i="1"/>
  <c r="E846" i="1"/>
  <c r="E843" i="1"/>
  <c r="E842" i="1" s="1"/>
  <c r="E840" i="1"/>
  <c r="E839" i="1" s="1"/>
  <c r="E835" i="1"/>
  <c r="E834" i="1" s="1"/>
  <c r="E832" i="1"/>
  <c r="E829" i="1"/>
  <c r="E825" i="1"/>
  <c r="E824" i="1" s="1"/>
  <c r="E822" i="1"/>
  <c r="E821" i="1"/>
  <c r="E817" i="1"/>
  <c r="E810" i="1"/>
  <c r="E809" i="1"/>
  <c r="E808" i="1" s="1"/>
  <c r="E805" i="1"/>
  <c r="E804" i="1" s="1"/>
  <c r="E803" i="1" s="1"/>
  <c r="E801" i="1"/>
  <c r="E800" i="1" s="1"/>
  <c r="E798" i="1"/>
  <c r="E795" i="1" s="1"/>
  <c r="E793" i="1"/>
  <c r="E791" i="1"/>
  <c r="E784" i="1"/>
  <c r="E783" i="1" s="1"/>
  <c r="E782" i="1" s="1"/>
  <c r="E781" i="1"/>
  <c r="E780" i="1" s="1"/>
  <c r="E779" i="1" s="1"/>
  <c r="E778" i="1"/>
  <c r="E777" i="1"/>
  <c r="E772" i="1"/>
  <c r="E771" i="1" s="1"/>
  <c r="E768" i="1"/>
  <c r="E765" i="1"/>
  <c r="E764" i="1"/>
  <c r="E763" i="1"/>
  <c r="E759" i="1"/>
  <c r="E756" i="1"/>
  <c r="E747" i="1"/>
  <c r="E746" i="1" s="1"/>
  <c r="E745" i="1" s="1"/>
  <c r="E744" i="1"/>
  <c r="E743" i="1"/>
  <c r="E739" i="1"/>
  <c r="E737" i="1"/>
  <c r="E736" i="1"/>
  <c r="E735" i="1"/>
  <c r="E729" i="1"/>
  <c r="E727" i="1"/>
  <c r="E722" i="1"/>
  <c r="E720" i="1"/>
  <c r="E719" i="1" s="1"/>
  <c r="E718" i="1" s="1"/>
  <c r="E717" i="1"/>
  <c r="E716" i="1"/>
  <c r="E710" i="1"/>
  <c r="E707" i="1"/>
  <c r="E703" i="1"/>
  <c r="E702" i="1" s="1"/>
  <c r="E696" i="1"/>
  <c r="E695" i="1"/>
  <c r="E694" i="1"/>
  <c r="E690" i="1"/>
  <c r="E681" i="1"/>
  <c r="E680" i="1" s="1"/>
  <c r="E679" i="1" s="1"/>
  <c r="E678" i="1" s="1"/>
  <c r="E676" i="1"/>
  <c r="E675" i="1" s="1"/>
  <c r="E674" i="1" s="1"/>
  <c r="E673" i="1" s="1"/>
  <c r="E671" i="1"/>
  <c r="E670" i="1" s="1"/>
  <c r="E669" i="1" s="1"/>
  <c r="E667" i="1"/>
  <c r="E665" i="1"/>
  <c r="E660" i="1"/>
  <c r="E659" i="1" s="1"/>
  <c r="E658" i="1" s="1"/>
  <c r="E656" i="1"/>
  <c r="E655" i="1" s="1"/>
  <c r="E654" i="1" s="1"/>
  <c r="E645" i="1"/>
  <c r="E644" i="1" s="1"/>
  <c r="E639" i="1"/>
  <c r="E637" i="1"/>
  <c r="E635" i="1"/>
  <c r="E632" i="1"/>
  <c r="E631" i="1" s="1"/>
  <c r="E629" i="1"/>
  <c r="E627" i="1"/>
  <c r="E624" i="1"/>
  <c r="E622" i="1"/>
  <c r="E621" i="1"/>
  <c r="E620" i="1" s="1"/>
  <c r="E618" i="1"/>
  <c r="E616" i="1"/>
  <c r="E613" i="1"/>
  <c r="E612" i="1" s="1"/>
  <c r="E608" i="1"/>
  <c r="E606" i="1"/>
  <c r="E604" i="1"/>
  <c r="E601" i="1"/>
  <c r="E599" i="1"/>
  <c r="E594" i="1"/>
  <c r="E592" i="1"/>
  <c r="E586" i="1"/>
  <c r="E584" i="1"/>
  <c r="E579" i="1"/>
  <c r="E578" i="1" s="1"/>
  <c r="E576" i="1"/>
  <c r="E574" i="1"/>
  <c r="E569" i="1"/>
  <c r="E568" i="1"/>
  <c r="E563" i="1"/>
  <c r="E562" i="1" s="1"/>
  <c r="E561" i="1" s="1"/>
  <c r="E559" i="1"/>
  <c r="E558" i="1"/>
  <c r="E557" i="1" s="1"/>
  <c r="E554" i="1"/>
  <c r="E552" i="1"/>
  <c r="E548" i="1"/>
  <c r="E546" i="1"/>
  <c r="E543" i="1"/>
  <c r="E541" i="1"/>
  <c r="E538" i="1"/>
  <c r="E536" i="1"/>
  <c r="E534" i="1"/>
  <c r="E531" i="1"/>
  <c r="E530" i="1" s="1"/>
  <c r="E523" i="1"/>
  <c r="E521" i="1"/>
  <c r="E518" i="1"/>
  <c r="E517" i="1" s="1"/>
  <c r="E515" i="1"/>
  <c r="E514" i="1" s="1"/>
  <c r="E512" i="1"/>
  <c r="E508" i="1"/>
  <c r="E506" i="1"/>
  <c r="E501" i="1"/>
  <c r="E496" i="1"/>
  <c r="E495" i="1" s="1"/>
  <c r="E494" i="1" s="1"/>
  <c r="E492" i="1"/>
  <c r="E491" i="1"/>
  <c r="E489" i="1"/>
  <c r="E488" i="1" s="1"/>
  <c r="E483" i="1"/>
  <c r="E482" i="1" s="1"/>
  <c r="E481" i="1" s="1"/>
  <c r="E480" i="1" s="1"/>
  <c r="E477" i="1"/>
  <c r="E476" i="1" s="1"/>
  <c r="E474" i="1"/>
  <c r="E473" i="1" s="1"/>
  <c r="E471" i="1"/>
  <c r="E470" i="1" s="1"/>
  <c r="E468" i="1"/>
  <c r="E467" i="1" s="1"/>
  <c r="E464" i="1"/>
  <c r="E463" i="1" s="1"/>
  <c r="E461" i="1"/>
  <c r="E459" i="1"/>
  <c r="E457" i="1"/>
  <c r="E456" i="1"/>
  <c r="E455" i="1" s="1"/>
  <c r="E450" i="1"/>
  <c r="E448" i="1"/>
  <c r="E444" i="1"/>
  <c r="E443" i="1" s="1"/>
  <c r="E441" i="1"/>
  <c r="E440" i="1" s="1"/>
  <c r="E438" i="1"/>
  <c r="E437" i="1" s="1"/>
  <c r="E436" i="1" s="1"/>
  <c r="E434" i="1"/>
  <c r="E433" i="1" s="1"/>
  <c r="E430" i="1"/>
  <c r="E428" i="1"/>
  <c r="E426" i="1"/>
  <c r="E422" i="1"/>
  <c r="E421" i="1" s="1"/>
  <c r="E420" i="1" s="1"/>
  <c r="E418" i="1"/>
  <c r="E416" i="1"/>
  <c r="E411" i="1"/>
  <c r="E410" i="1" s="1"/>
  <c r="E408" i="1"/>
  <c r="E407" i="1" s="1"/>
  <c r="E405" i="1"/>
  <c r="E404" i="1" s="1"/>
  <c r="E402" i="1"/>
  <c r="E400" i="1"/>
  <c r="E399" i="1"/>
  <c r="E389" i="1"/>
  <c r="E379" i="1"/>
  <c r="E378" i="1" s="1"/>
  <c r="E376" i="1"/>
  <c r="E374" i="1"/>
  <c r="E372" i="1"/>
  <c r="E366" i="1"/>
  <c r="E364" i="1"/>
  <c r="E361" i="1"/>
  <c r="E359" i="1"/>
  <c r="E356" i="1"/>
  <c r="E351" i="1"/>
  <c r="E348" i="1" s="1"/>
  <c r="E346" i="1"/>
  <c r="E345" i="1" s="1"/>
  <c r="E342" i="1"/>
  <c r="E341" i="1"/>
  <c r="E337" i="1"/>
  <c r="E334" i="1"/>
  <c r="E324" i="1"/>
  <c r="E318" i="1"/>
  <c r="E316" i="1"/>
  <c r="E314" i="1"/>
  <c r="E302" i="1"/>
  <c r="E300" i="1"/>
  <c r="E297" i="1"/>
  <c r="E296" i="1" s="1"/>
  <c r="E291" i="1"/>
  <c r="E290" i="1" s="1"/>
  <c r="E288" i="1"/>
  <c r="E287" i="1" s="1"/>
  <c r="E285" i="1"/>
  <c r="E283" i="1"/>
  <c r="E280" i="1"/>
  <c r="E279" i="1" s="1"/>
  <c r="E273" i="1"/>
  <c r="E272" i="1" s="1"/>
  <c r="E269" i="1"/>
  <c r="E259" i="1"/>
  <c r="E258" i="1" s="1"/>
  <c r="E256" i="1"/>
  <c r="E255" i="1" s="1"/>
  <c r="E253" i="1"/>
  <c r="E252" i="1" s="1"/>
  <c r="E247" i="1"/>
  <c r="E244" i="1"/>
  <c r="E238" i="1"/>
  <c r="E237" i="1" s="1"/>
  <c r="E236" i="1" s="1"/>
  <c r="E232" i="1"/>
  <c r="E231" i="1" s="1"/>
  <c r="E229" i="1"/>
  <c r="E228" i="1" s="1"/>
  <c r="E226" i="1"/>
  <c r="E225" i="1" s="1"/>
  <c r="E223" i="1"/>
  <c r="E222" i="1" s="1"/>
  <c r="E220" i="1"/>
  <c r="E218" i="1"/>
  <c r="E214" i="1"/>
  <c r="E213" i="1" s="1"/>
  <c r="E208" i="1"/>
  <c r="E198" i="1"/>
  <c r="E197" i="1" s="1"/>
  <c r="E196" i="1"/>
  <c r="E194" i="1" s="1"/>
  <c r="E189" i="1"/>
  <c r="E187" i="1"/>
  <c r="E180" i="1"/>
  <c r="E175" i="1"/>
  <c r="E171" i="1"/>
  <c r="E166" i="1"/>
  <c r="E165" i="1" s="1"/>
  <c r="E161" i="1"/>
  <c r="E159" i="1"/>
  <c r="E158" i="1"/>
  <c r="E157" i="1"/>
  <c r="E156" i="1"/>
  <c r="E149" i="1"/>
  <c r="E148" i="1" s="1"/>
  <c r="E147" i="1" s="1"/>
  <c r="E146" i="1" s="1"/>
  <c r="E144" i="1"/>
  <c r="E140" i="1"/>
  <c r="E137" i="1"/>
  <c r="E136" i="1" s="1"/>
  <c r="E134" i="1"/>
  <c r="E133" i="1"/>
  <c r="E131" i="1"/>
  <c r="E130" i="1"/>
  <c r="E128" i="1"/>
  <c r="E126" i="1"/>
  <c r="E120" i="1"/>
  <c r="E119" i="1" s="1"/>
  <c r="E118" i="1" s="1"/>
  <c r="E117" i="1" s="1"/>
  <c r="E115" i="1"/>
  <c r="E113" i="1"/>
  <c r="E108" i="1"/>
  <c r="E107" i="1" s="1"/>
  <c r="E106" i="1" s="1"/>
  <c r="E104" i="1"/>
  <c r="E102" i="1"/>
  <c r="E99" i="1"/>
  <c r="E98" i="1" s="1"/>
  <c r="E95" i="1"/>
  <c r="E94" i="1" s="1"/>
  <c r="E93" i="1" s="1"/>
  <c r="E90" i="1"/>
  <c r="E89" i="1" s="1"/>
  <c r="E88" i="1" s="1"/>
  <c r="E86" i="1"/>
  <c r="E85" i="1" s="1"/>
  <c r="E84" i="1" s="1"/>
  <c r="E82" i="1"/>
  <c r="E81" i="1" s="1"/>
  <c r="E80" i="1" s="1"/>
  <c r="E77" i="1"/>
  <c r="E76" i="1" s="1"/>
  <c r="E75" i="1" s="1"/>
  <c r="E73" i="1"/>
  <c r="E72" i="1" s="1"/>
  <c r="E71" i="1" s="1"/>
  <c r="E70" i="1" s="1"/>
  <c r="E68" i="1"/>
  <c r="E66" i="1"/>
  <c r="E61" i="1"/>
  <c r="E60" i="1" s="1"/>
  <c r="E59" i="1"/>
  <c r="E57" i="1" s="1"/>
  <c r="E54" i="1"/>
  <c r="E51" i="1"/>
  <c r="E48" i="1"/>
  <c r="E46" i="1"/>
  <c r="E43" i="1"/>
  <c r="E33" i="1"/>
  <c r="E31" i="1"/>
  <c r="E26" i="1"/>
  <c r="E25" i="1" s="1"/>
  <c r="E24" i="1"/>
  <c r="E23" i="1" s="1"/>
  <c r="E22" i="1" s="1"/>
  <c r="E21" i="1"/>
  <c r="E20" i="1" s="1"/>
  <c r="E19" i="1" s="1"/>
  <c r="E15" i="1"/>
  <c r="E14" i="1" s="1"/>
  <c r="E1317" i="1" l="1"/>
  <c r="E1235" i="1"/>
  <c r="E1234" i="1" s="1"/>
  <c r="E1233" i="1" s="1"/>
  <c r="E1158" i="1"/>
  <c r="E1151" i="1" s="1"/>
  <c r="E1312" i="1"/>
  <c r="E571" i="1"/>
  <c r="E788" i="1"/>
  <c r="E787" i="1" s="1"/>
  <c r="E1014" i="1"/>
  <c r="E1013" i="1" s="1"/>
  <c r="E726" i="1"/>
  <c r="E447" i="1"/>
  <c r="E581" i="1"/>
  <c r="E323" i="1"/>
  <c r="E363" i="1"/>
  <c r="E369" i="1"/>
  <c r="E368" i="1" s="1"/>
  <c r="E358" i="1"/>
  <c r="E653" i="1"/>
  <c r="E388" i="1"/>
  <c r="E387" i="1" s="1"/>
  <c r="E386" i="1" s="1"/>
  <c r="E1358" i="1"/>
  <c r="E1357" i="1" s="1"/>
  <c r="E1356" i="1" s="1"/>
  <c r="E207" i="1"/>
  <c r="E206" i="1" s="1"/>
  <c r="E1084" i="1"/>
  <c r="E307" i="1"/>
  <c r="E306" i="1" s="1"/>
  <c r="E305" i="1" s="1"/>
  <c r="E304" i="1" s="1"/>
  <c r="E689" i="1"/>
  <c r="E688" i="1" s="1"/>
  <c r="E721" i="1"/>
  <c r="E339" i="1"/>
  <c r="E336" i="1" s="1"/>
  <c r="E742" i="1"/>
  <c r="E741" i="1" s="1"/>
  <c r="E178" i="1"/>
  <c r="E177" i="1" s="1"/>
  <c r="E183" i="1"/>
  <c r="E182" i="1" s="1"/>
  <c r="E1113" i="1"/>
  <c r="E1112" i="1" s="1"/>
  <c r="E1111" i="1" s="1"/>
  <c r="E693" i="1"/>
  <c r="E692" i="1" s="1"/>
  <c r="E715" i="1"/>
  <c r="E714" i="1" s="1"/>
  <c r="E713" i="1" s="1"/>
  <c r="E996" i="1"/>
  <c r="E995" i="1" s="1"/>
  <c r="E994" i="1" s="1"/>
  <c r="E664" i="1"/>
  <c r="E663" i="1" s="1"/>
  <c r="E662" i="1" s="1"/>
  <c r="E112" i="1"/>
  <c r="E111" i="1" s="1"/>
  <c r="E110" i="1" s="1"/>
  <c r="E1303" i="1"/>
  <c r="E217" i="1"/>
  <c r="E216" i="1" s="1"/>
  <c r="E1083" i="1"/>
  <c r="E1082" i="1" s="1"/>
  <c r="E1136" i="1"/>
  <c r="E1135" i="1" s="1"/>
  <c r="E1134" i="1" s="1"/>
  <c r="E266" i="1"/>
  <c r="E265" i="1" s="1"/>
  <c r="E264" i="1" s="1"/>
  <c r="E263" i="1" s="1"/>
  <c r="E262" i="1" s="1"/>
  <c r="E754" i="1"/>
  <c r="E828" i="1"/>
  <c r="E827" i="1" s="1"/>
  <c r="E878" i="1"/>
  <c r="E952" i="1"/>
  <c r="E951" i="1" s="1"/>
  <c r="E968" i="1"/>
  <c r="E967" i="1" s="1"/>
  <c r="E1258" i="1"/>
  <c r="E820" i="1"/>
  <c r="E816" i="1" s="1"/>
  <c r="E815" i="1" s="1"/>
  <c r="E845" i="1"/>
  <c r="E1223" i="1"/>
  <c r="E734" i="1"/>
  <c r="E733" i="1" s="1"/>
  <c r="E154" i="1"/>
  <c r="E153" i="1" s="1"/>
  <c r="E823" i="1"/>
  <c r="E864" i="1"/>
  <c r="E863" i="1" s="1"/>
  <c r="E1039" i="1"/>
  <c r="E1038" i="1" s="1"/>
  <c r="E881" i="1"/>
  <c r="E626" i="1"/>
  <c r="E540" i="1"/>
  <c r="E567" i="1"/>
  <c r="E566" i="1" s="1"/>
  <c r="E591" i="1"/>
  <c r="E590" i="1" s="1"/>
  <c r="E776" i="1"/>
  <c r="E775" i="1" s="1"/>
  <c r="E774" i="1" s="1"/>
  <c r="E868" i="1"/>
  <c r="E867" i="1" s="1"/>
  <c r="E634" i="1"/>
  <c r="E1066" i="1"/>
  <c r="E1062" i="1" s="1"/>
  <c r="E520" i="1"/>
  <c r="E760" i="1"/>
  <c r="E282" i="1"/>
  <c r="E278" i="1" s="1"/>
  <c r="E277" i="1" s="1"/>
  <c r="E478" i="1"/>
  <c r="E533" i="1"/>
  <c r="E957" i="1"/>
  <c r="E956" i="1" s="1"/>
  <c r="E1243" i="1"/>
  <c r="E170" i="1"/>
  <c r="E415" i="1"/>
  <c r="E414" i="1" s="1"/>
  <c r="E466" i="1"/>
  <c r="E1332" i="1"/>
  <c r="E1331" i="1" s="1"/>
  <c r="E1212" i="1"/>
  <c r="E1211" i="1" s="1"/>
  <c r="E425" i="1"/>
  <c r="E424" i="1" s="1"/>
  <c r="E299" i="1"/>
  <c r="E295" i="1" s="1"/>
  <c r="E294" i="1" s="1"/>
  <c r="E293" i="1" s="1"/>
  <c r="E962" i="1"/>
  <c r="E961" i="1" s="1"/>
  <c r="E18" i="1"/>
  <c r="E17" i="1" s="1"/>
  <c r="E16" i="1" s="1"/>
  <c r="E125" i="1"/>
  <c r="E124" i="1" s="1"/>
  <c r="E123" i="1" s="1"/>
  <c r="E545" i="1"/>
  <c r="E251" i="1"/>
  <c r="E250" i="1" s="1"/>
  <c r="E983" i="1"/>
  <c r="E978" i="1" s="1"/>
  <c r="E1127" i="1"/>
  <c r="E1126" i="1" s="1"/>
  <c r="E30" i="1"/>
  <c r="E29" i="1" s="1"/>
  <c r="E598" i="1"/>
  <c r="E1004" i="1"/>
  <c r="E1003" i="1" s="1"/>
  <c r="E916" i="1"/>
  <c r="E1249" i="1"/>
  <c r="E1269" i="1"/>
  <c r="E65" i="1"/>
  <c r="E64" i="1" s="1"/>
  <c r="E63" i="1" s="1"/>
  <c r="E353" i="1"/>
  <c r="E1351" i="1"/>
  <c r="E1350" i="1" s="1"/>
  <c r="E1349" i="1" s="1"/>
  <c r="E45" i="1"/>
  <c r="E42" i="1" s="1"/>
  <c r="E41" i="1" s="1"/>
  <c r="E40" i="1" s="1"/>
  <c r="E908" i="1"/>
  <c r="E923" i="1"/>
  <c r="E1094" i="1"/>
  <c r="E1093" i="1" s="1"/>
  <c r="E1326" i="1"/>
  <c r="E1325" i="1" s="1"/>
  <c r="E398" i="1"/>
  <c r="E603" i="1"/>
  <c r="E243" i="1"/>
  <c r="E242" i="1" s="1"/>
  <c r="E241" i="1" s="1"/>
  <c r="E487" i="1"/>
  <c r="E551" i="1"/>
  <c r="E550" i="1" s="1"/>
  <c r="E895" i="1"/>
  <c r="E101" i="1"/>
  <c r="E97" i="1" s="1"/>
  <c r="E92" i="1" s="1"/>
  <c r="E454" i="1"/>
  <c r="E928" i="1"/>
  <c r="E432" i="1"/>
  <c r="E615" i="1"/>
  <c r="E1049" i="1"/>
  <c r="E193" i="1"/>
  <c r="E936" i="1"/>
  <c r="E935" i="1" s="1"/>
  <c r="E706" i="1"/>
  <c r="E701" i="1" s="1"/>
  <c r="E1287" i="1"/>
  <c r="E1286" i="1" s="1"/>
  <c r="E1285" i="1" s="1"/>
  <c r="E13" i="1"/>
  <c r="E12" i="1" s="1"/>
  <c r="E11" i="1" s="1"/>
  <c r="E500" i="1"/>
  <c r="E499" i="1" s="1"/>
  <c r="E807" i="1"/>
  <c r="E806" i="1" s="1"/>
  <c r="E526" i="1" l="1"/>
  <c r="E525" i="1" s="1"/>
  <c r="E1302" i="1"/>
  <c r="E1301" i="1" s="1"/>
  <c r="E611" i="1"/>
  <c r="E610" i="1" s="1"/>
  <c r="E1232" i="1"/>
  <c r="E1231" i="1" s="1"/>
  <c r="E498" i="1"/>
  <c r="E322" i="1"/>
  <c r="E347" i="1"/>
  <c r="E1347" i="1"/>
  <c r="E205" i="1"/>
  <c r="E204" i="1" s="1"/>
  <c r="E28" i="1"/>
  <c r="E691" i="1"/>
  <c r="E687" i="1" s="1"/>
  <c r="E686" i="1" s="1"/>
  <c r="E685" i="1" s="1"/>
  <c r="E565" i="1"/>
  <c r="E725" i="1"/>
  <c r="E700" i="1" s="1"/>
  <c r="E699" i="1" s="1"/>
  <c r="E1348" i="1"/>
  <c r="E838" i="1"/>
  <c r="E1257" i="1"/>
  <c r="E1256" i="1" s="1"/>
  <c r="E1248" i="1" s="1"/>
  <c r="E950" i="1"/>
  <c r="E877" i="1"/>
  <c r="E862" i="1" s="1"/>
  <c r="E861" i="1" s="1"/>
  <c r="E860" i="1" s="1"/>
  <c r="E753" i="1"/>
  <c r="E752" i="1" s="1"/>
  <c r="E751" i="1" s="1"/>
  <c r="E750" i="1" s="1"/>
  <c r="E814" i="1"/>
  <c r="E240" i="1"/>
  <c r="E1037" i="1"/>
  <c r="E1012" i="1" s="1"/>
  <c r="E152" i="1"/>
  <c r="E151" i="1" s="1"/>
  <c r="E79" i="1" s="1"/>
  <c r="E446" i="1"/>
  <c r="E397" i="1" s="1"/>
  <c r="E597" i="1"/>
  <c r="E596" i="1" s="1"/>
  <c r="E1324" i="1"/>
  <c r="E1088" i="1"/>
  <c r="E1087" i="1" s="1"/>
  <c r="E907" i="1"/>
  <c r="E321" i="1" l="1"/>
  <c r="E320" i="1" s="1"/>
  <c r="E556" i="1"/>
  <c r="E1284" i="1"/>
  <c r="E813" i="1"/>
  <c r="E906" i="1"/>
  <c r="E905" i="1" s="1"/>
  <c r="E1081" i="1"/>
  <c r="E203" i="1"/>
  <c r="E486" i="1"/>
  <c r="E10" i="1"/>
  <c r="E698" i="1" l="1"/>
  <c r="E261" i="1"/>
  <c r="E485" i="1"/>
  <c r="E1370" i="1" l="1"/>
</calcChain>
</file>

<file path=xl/sharedStrings.xml><?xml version="1.0" encoding="utf-8"?>
<sst xmlns="http://schemas.openxmlformats.org/spreadsheetml/2006/main" count="4385" uniqueCount="1091">
  <si>
    <t/>
  </si>
  <si>
    <t>1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</si>
  <si>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</si>
  <si>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</si>
  <si>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</si>
  <si>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</si>
  <si>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</si>
  <si>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</si>
  <si>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</si>
  <si>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</si>
  <si>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</si>
  <si>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</si>
  <si>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</si>
  <si>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</si>
  <si>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</si>
  <si>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</si>
  <si>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</si>
  <si>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</si>
  <si>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средства</t>
  </si>
  <si>
    <t>Другие общегосударственные вопросы</t>
  </si>
  <si>
    <t>0113</t>
  </si>
  <si>
    <t>Выполнение функций органами местного самоуправления</t>
  </si>
  <si>
    <t>Премии и гранты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</si>
  <si>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</si>
  <si>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</si>
  <si>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</si>
  <si>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</si>
  <si>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деятельности подведомственных учреждений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</si>
  <si>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</si>
  <si>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</si>
  <si>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</si>
  <si>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</si>
  <si>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</si>
  <si>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</si>
  <si>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Реализация Закона Сахалинской области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 за счет межбюджетных трансфертов</t>
  </si>
  <si>
    <t>Сельское хозяйство и рыболовство</t>
  </si>
  <si>
    <t>0405</t>
  </si>
  <si>
    <t>810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</si>
  <si>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</si>
  <si>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</si>
  <si>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</si>
  <si>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</si>
  <si>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</si>
  <si>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</si>
  <si>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Осуществление функций административного центра Сахалинской области за счёт межбюджетных трансфертов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</si>
  <si>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</si>
  <si>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</si>
  <si>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</si>
  <si>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</si>
  <si>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</si>
  <si>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</si>
  <si>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</si>
  <si>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</si>
  <si>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</si>
  <si>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</si>
  <si>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</si>
  <si>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</si>
  <si>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</si>
  <si>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</si>
  <si>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</si>
  <si>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</si>
  <si>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</si>
  <si>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</si>
  <si>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</si>
  <si>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</si>
  <si>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</si>
  <si>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</si>
  <si>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</si>
  <si>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</si>
  <si>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</si>
  <si>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</si>
  <si>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</si>
  <si>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</si>
  <si>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</si>
  <si>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</si>
  <si>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</si>
  <si>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</si>
  <si>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</si>
  <si>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</si>
  <si>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</si>
  <si>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</si>
  <si>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</si>
  <si>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</si>
  <si>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</si>
  <si>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</si>
  <si>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</si>
  <si>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</si>
  <si>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</si>
  <si>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</si>
  <si>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</si>
  <si>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</si>
  <si>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</si>
  <si>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</si>
  <si>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</si>
  <si>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</si>
  <si>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</si>
  <si>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</si>
  <si>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</si>
  <si>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</si>
  <si>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</si>
  <si>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Иные выплаты населению</t>
  </si>
  <si>
    <t>Субсидии некоммерческим организациям (за исключением государственных (муниципальных) учреждений)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</si>
  <si>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</si>
  <si>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</si>
  <si>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</si>
  <si>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Итого</t>
  </si>
  <si>
    <t>Наименование расходов</t>
  </si>
  <si>
    <t>Код раз-дела, подраздела</t>
  </si>
  <si>
    <t>Код вида расходов</t>
  </si>
  <si>
    <t>Всего, в тысячах рублей</t>
  </si>
  <si>
    <t>Непрограммные расходы на обеспечение деятельности органов местного самоуправления</t>
  </si>
  <si>
    <t>Непрограммные расходы за счет межбюджетных трансфертов</t>
  </si>
  <si>
    <t>Муниципальная программа "Реформирование и развитие системы муниципальной службы в администрации города Южно-Сахалинска (2015-2020 годы)"</t>
  </si>
  <si>
    <t>Дополнительное образование муниципальных служащих</t>
  </si>
  <si>
    <t>Муниципальная программа "Развитие инвестиционного потенциала городского округа "Город Южно-Сахалинск" на 2015-2020 годы"</t>
  </si>
  <si>
    <t>Муниципальная программа "Поддержка и развитие малого и среднего предпринимательства городского округа "Город Южно-Сахалинск" на 2015-2020 годы"</t>
  </si>
  <si>
    <t>Развитие информационной поддержки субъектов малого и среднего предпринимательства, содействие повышению престижа предпринимательской деятельности городского округа "Город Южно-Сахалинск"</t>
  </si>
  <si>
    <t>Муниципальная программа "Развитие потребительского рынка городского округа "Город Южно-Сахалинск" на 2015-2020 годы"</t>
  </si>
  <si>
    <t>Муниципальная программа "Обеспечение общественного правопорядка, противодействие преступности и незаконному обороту наркотиков в городском округе "Город Южно-Сахалинск" на 2015-2020 годы"</t>
  </si>
  <si>
    <t>Подпрограмма "Комплексные меры противодействия злоупотреблению наркотиками и их незаконному обороту в городском округе "Город Южно-Сахалинск" на 2015-2020 годы"</t>
  </si>
  <si>
    <t>Обеспечение условий для приостановления роста потребления наркотических средств без назначения врача и их незаконному обороту</t>
  </si>
  <si>
    <t>Подпрограмма "Противодействие коррупции в администрации города Южно-Сахалинска на 2015-2020 годы"</t>
  </si>
  <si>
    <t>Информирование населения о реализации антикоррупционной политики</t>
  </si>
  <si>
    <t>Организация повышения квалификации специалистов, в должностные обязанности которых входит участие в противодействии коррупции</t>
  </si>
  <si>
    <t>Муниципальная программа "Социальная поддержка населения городского округа "Город Южно-Сахалинск" на 2015-2020 годы"</t>
  </si>
  <si>
    <t>Подпрограмма "Социальная поддержка граждан - "Забота" на 2015-2020 годы"</t>
  </si>
  <si>
    <t>Почтовые расходы и повышение социальной активности отдельных категорий граждан</t>
  </si>
  <si>
    <t>Муниципальная программа "Развитие физической культуры и спорта в городском округе "Город Южно-Сахалинск" на 2015-2020 годы"</t>
  </si>
  <si>
    <t>Развитие инфраструктуры и модернизация объектов в сфере физической культуры и спорта</t>
  </si>
  <si>
    <t>Муниципальная программа "Развитие культуры в городском округе "Город Южно-Сахалинск" на 2015-2020 годы"</t>
  </si>
  <si>
    <t>Муниципальная программа "Совершенствование системы муниципального управления в городском округе "Город Южно-Сахалинск" на 2015-2020 годы"</t>
  </si>
  <si>
    <t>Подпрограмма "Содействие развитию институтов и инициатив гражданского общества в городском округе "Город Южно-Сахалинск" на 2015-2020 годы"</t>
  </si>
  <si>
    <t>Содействие развитию институтов гражданского общества, поддержка гражданских и общественных инициатив</t>
  </si>
  <si>
    <t>Проведение общегородских мероприятий</t>
  </si>
  <si>
    <t>Занесение на Доску Почета городского округа "Город Южно-Сахалинск" учреждений, организаций, предприятий и физических лиц</t>
  </si>
  <si>
    <t>Развитие международных и межрегиональных связей в городском округе "Город Южно-Сахалинск"</t>
  </si>
  <si>
    <t>Подпрограмма "Информирование населения о деятельности органов местного самоуправления на территории городского округа "Город Южно-Сахалинск" на 2015-2020 годы"</t>
  </si>
  <si>
    <t>Прочие непрограммные расходы за счет местного бюджета</t>
  </si>
  <si>
    <t>Муниципальная программа "Защита населения и территории городского округа "Город Южно-Сахалинск"от чрезвычайных ситуаций природного и техногенного характера, обеспечение пожарной безопасности и безопасности людей на водных объектах на 2015-2020 годы"</t>
  </si>
  <si>
    <t>Мероприятия по агитации и пропаганде пожарной безопасности</t>
  </si>
  <si>
    <t>Подпрограмма "Предупреждение, ликвидация, снижение рисков и смягчение последствий чрезвычайных ситуаций природного и техногенного характера, обеспечение безопасности на водных объектах"</t>
  </si>
  <si>
    <t>Создание, содержание и использование муниципального резерва материальных ресурсов для ликвидации чрезвычайных ситуаций</t>
  </si>
  <si>
    <t>Содержание и эксплуатационно-техническое обслуживание системы оповещения</t>
  </si>
  <si>
    <t>Организация образовательной деятельности в сфере предупреждения и ликвидации чрезвычайных ситуаций</t>
  </si>
  <si>
    <t>Муниципальная программа "Развитие транспортной инфраструктуры и дорожного хозяйства городского округа "Город Южно-Сахалинск" на 2015-2020 годы"</t>
  </si>
  <si>
    <t>Подпрограмма "Повышение безопасности дорожного движения на территории городского округа "Город Южно-Сахалинск" на период 2015-2020 годов"</t>
  </si>
  <si>
    <t>Подпрограмма "Профилактика правонарушений в городском округе "Город Южно-Сахалинск"на 2015-2020 годы"</t>
  </si>
  <si>
    <t>Организация работы по предупреждению и профилактике правонарушений, совершаемых на улицах и в общественных местах города, в том числе и в рамках внедрения и дальнейшего развития на территории городского округа аппаратно-программного комплекса "Безопасный город"</t>
  </si>
  <si>
    <t>Подпрограмма "Профилактика терроризма и экстремизма на территории городского округа "Город Южно-Сахалинск" на 2015-2020 годы"</t>
  </si>
  <si>
    <t>Муниципальная программа "Развитие образования в городском округе "Город Южно-Сахалинск" на 2015-2020 годы"</t>
  </si>
  <si>
    <t>Подпрограмма "Организация отдыха, оздоровления и занятости детей, подростков и молодежи"</t>
  </si>
  <si>
    <t>Организация содержательного досуга и занятости несовершеннолетних в каникулярный период</t>
  </si>
  <si>
    <t>Муниципальная программа "Повышение эффективности молодежной политики в городском округе "Город Южно-Сахалинск" на 2015-2020 годы"</t>
  </si>
  <si>
    <t>Оказание поддержки в сфере молодежной политики</t>
  </si>
  <si>
    <t>Муниципальная программа "Развитие в городском округе "Город Южно-Сахалинск" сельского хозяйства и регулирование рынков сельскохозяйственной продукции, сырья и продовольствия на 2015-2020 годы"</t>
  </si>
  <si>
    <t>Предоставление субсидии из бюджета городского округа владельцам личных подсобных хозяйств на возмещение части затрат по производству и поставке молока перерабатывающим предприятиям</t>
  </si>
  <si>
    <t>Организация городских сельскохозяйственных ярмарок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</si>
  <si>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</si>
  <si>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</si>
  <si>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"Модернизация и развитие улично-дорожной сети, автомобильных дорог общего пользования местного значения городского округа "Город Южно-Сахалинск" на 2015-2020 годы"</t>
  </si>
  <si>
    <t>Развитие дорожной инфраструктуры</t>
  </si>
  <si>
    <t>Техническая эксплуатация (содержание и ремонт) улично-дорожной сети, автомобильных дорог, элементов их обустройства, защитных и искусственных дорожных сооружений</t>
  </si>
  <si>
    <t>Строительство, содержание, ремонт и модернизация объектов светофорного регулирования</t>
  </si>
  <si>
    <t>Обустройство улично-дорожной сети дорожными знаками</t>
  </si>
  <si>
    <t>Нанесение линий дорожной разметки, в том числе повышенной светоотражающей способности</t>
  </si>
  <si>
    <t>Муниципальная программа "Жилищное хозяйство и благоустройство на территории городского округа "Город Южно-Сахалинск" на 2015-2020 годы"</t>
  </si>
  <si>
    <t>Содержание и ремонт объектов благоустройства</t>
  </si>
  <si>
    <t>Подпрограмма "Город без границ на 2015-2020 годы"</t>
  </si>
  <si>
    <t>Адаптация объектов инфраструктуры для маломобильных групп населения</t>
  </si>
  <si>
    <t>Муниципальная программа "Совершенствование системы управления муниципальным имуществом городского округа "Город Южно-Сахалинск" на 2015-2020 годы"</t>
  </si>
  <si>
    <t>Совершенствование системы учёта объектов муниципальной собственности в Реестре имущества городского округа "Город Южно-Сахалинск"</t>
  </si>
  <si>
    <t>Создание условий для повышения эффективности управления муниципальным имуществом</t>
  </si>
  <si>
    <t>Содержание имущества казны городского округа "Город Южно-Сахалинск"</t>
  </si>
  <si>
    <t>Изъятие земельных участков и объектов недвижимости на территории городского округа "Город Южно-Сахалинск", в том числе определение выкупной цены, оплата выкупной стоимости</t>
  </si>
  <si>
    <t>Предоставление субсидий субъектам инвестиционной деятельности</t>
  </si>
  <si>
    <t>Финансовая поддержка субъектов малого и среднего предпринимательства городского округа "Город Южно-Сахалинск"</t>
  </si>
  <si>
    <t>Муниципальная программа "Обеспечение населения городского округа "Город Южно-Сахалинск" качественным жильем на 2015-2020 годы"</t>
  </si>
  <si>
    <t>Подпрограмма "Строительство инженерной и транспортной инфраструктуры"</t>
  </si>
  <si>
    <t>Подготовка, (корректировка) градостроительной документации (территориального планирования и по планировке территории)</t>
  </si>
  <si>
    <t>Организация и проведение публичных слушаний</t>
  </si>
  <si>
    <t>Муниципальная программа "Совершенствование пространственной организации территории городского округа "Город Южно-Сахалинск" на 2015-2020 годы"</t>
  </si>
  <si>
    <t>Капитальный ремонт жилищного фонда</t>
  </si>
  <si>
    <t>Муниципальная программа "Энергосбережение и повышение энергетической эффективности городского округа "Город Южно-Сахалинск" на 2015-2020 годы"</t>
  </si>
  <si>
    <t>Строительство многоквартирных жилых домов для граждан, переселяемых из аварийного и непригодного для проживания жилищного фонда</t>
  </si>
  <si>
    <t>Подпрограмма "Строительство жилья в городском округе "Город Южно-Сахалинск" на 2015-2020 годы"</t>
  </si>
  <si>
    <t>Возмещение юридическим лицам, индивидуальным предпринимателям, оказывающим услуги бань населению, части экономически обоснованных затрат по содержанию бань</t>
  </si>
  <si>
    <t>Муниципальная программа "Развитие коммунальной инфраструктуры городского округа "Город Южно-Сахалинск" на 2015-2020 годы"</t>
  </si>
  <si>
    <t>Капитальный ремонт объектов коммунальной инфраструктуры для существующей застройки</t>
  </si>
  <si>
    <t>Муниципальная программа "Газификация городского округа "Город Южно-Сахалинск" на 2015-2020 годы"</t>
  </si>
  <si>
    <t>Развитие систем газификации</t>
  </si>
  <si>
    <t>Содержание мест захоронений</t>
  </si>
  <si>
    <t>Организация работ по подготовке к праздничным мероприятиям городского округа "Город Южно-Сахалинск"</t>
  </si>
  <si>
    <t>Приобретение автомобильной и специализированной техники и прочего имущества</t>
  </si>
  <si>
    <t>Подпрограмма "Реконструкция скверов, бульваров и зеленых ландшафтных зон на территории городского округа "Город Южно-Сахалинск" на 2015-2020 годы"</t>
  </si>
  <si>
    <t>Реконструкция скверов</t>
  </si>
  <si>
    <t>Ведомственная целевая программа "Освобождение земельных участков от некапитальных гаражей, самовольно (незаконно) установленных на территории городского округа "Город Южно-Сахалинск" на 2015-2020 годы"</t>
  </si>
  <si>
    <t>Освобождение земельных участков городского округа "Город Южно-Сахалинск" от самовольно (незаконно) размещённых некапитальных гаражей</t>
  </si>
  <si>
    <t>Создание благоприятной окружающей среды на территории городского округа "Город Южно-Сахалинск"</t>
  </si>
  <si>
    <t>Обеспечение экологической безопасности жителей городского округа в сфере обращения с отходами производства и потребления</t>
  </si>
  <si>
    <t>Подпрограмма "Повышение качества и доступности дошкольного образования"</t>
  </si>
  <si>
    <t>Формирование механизмов, обеспечивающих равный доступ всех категорий населения к услугам дошкольного образования</t>
  </si>
  <si>
    <t>Повышение качества образования, направленное на разработку и внедрение механизмов обеспечения высокого качества дошкольного образования, внедрение инновационных, в том числе информационных технологий</t>
  </si>
  <si>
    <t>Подпрограмма "Безопасность образовательных учреждений"</t>
  </si>
  <si>
    <t>Обеспечение пожарной безопасности на территориях образовательных организаций</t>
  </si>
  <si>
    <t>Обеспечение антитеррористической защищенности на территориях образовательных организаций</t>
  </si>
  <si>
    <t>Подпрограмма "Развитие кадрового потенциала"</t>
  </si>
  <si>
    <t>Капитальный ремонт дошкольных образовательных учреждений</t>
  </si>
  <si>
    <t>Подпрограмма "Здоровое питание"</t>
  </si>
  <si>
    <t>Обеспечение питанием учащихся и воспитанников образовательных организаций</t>
  </si>
  <si>
    <t>Подпрограмма "Повышение качества и доступности общего образования"</t>
  </si>
  <si>
    <t>Повышение качества образования</t>
  </si>
  <si>
    <t>Подпрограмма "Развитие системы воспитания, дополнительного образования и социальной защиты детей"</t>
  </si>
  <si>
    <t>Повышение качества дополнительного образования</t>
  </si>
  <si>
    <t>Строительство, реконструкция общеобразовательных учреждений</t>
  </si>
  <si>
    <t>Развитие массовой физической культуры и спорта</t>
  </si>
  <si>
    <t>Иные мероприятия в сфере культуры</t>
  </si>
  <si>
    <t>Поддержка и развитие кадрового потенциала в сфере культуры, дополнительного образования в сфере культуры и искусства</t>
  </si>
  <si>
    <t>Обеспечение безопасных условий организации отдыха и занятости детей в каникулярный период</t>
  </si>
  <si>
    <t>Укрепление материально-технической базы оздоровительных лагерей</t>
  </si>
  <si>
    <t>Учебно-методическое и информационное обеспечение организации отдыха и занятости детей и подростков в каникулярный период</t>
  </si>
  <si>
    <t>Выявление и устранение причин и условий, способствующих совершению правонарушений среди несовершеннолетних и молодежи</t>
  </si>
  <si>
    <t>Совершенствование системы патриотического воспитания и допризывной подготовки молодежи</t>
  </si>
  <si>
    <t>Развитие инклюзивного образования</t>
  </si>
  <si>
    <t>Выявление и поддержка одаренных детей</t>
  </si>
  <si>
    <t>Поддержка и распространение лучших образцов педагогической практики</t>
  </si>
  <si>
    <t>Социальная защита</t>
  </si>
  <si>
    <t>Осуществление полномочий по обеспечению содержания зданий и сооружений муниципальных образовательных организаций, обустройству прилегающих к ним территорий</t>
  </si>
  <si>
    <t>Повышение престижа педагогической профессии, формирование позитивного образа современного учителя</t>
  </si>
  <si>
    <t>Поддержка мер предоставления социальной выплаты для погашения части расходов участника программы на уплату процентов</t>
  </si>
  <si>
    <t>Вовлечение молодежи к предпринимательской деятельности</t>
  </si>
  <si>
    <t>Популяризация знаний правил дорожного движения и необходимости соблюдения требований безопасности дорожного движения</t>
  </si>
  <si>
    <t>Информационно-методическое обеспечение профилактики терроризма, этнического и религиозного экстремизма</t>
  </si>
  <si>
    <t>Развитие социально-культурной деятельности на территории городского округа</t>
  </si>
  <si>
    <t>Муниципальная программа "Устойчивое развитие коренных малочисленных народов Севера городского округа "Город Южно-Сахалинск" на 2015-2020 годы"</t>
  </si>
  <si>
    <t>Сохранение и возрождение национальных традиций, проведение этнокультурных мероприятий</t>
  </si>
  <si>
    <t>Пенсия за выслугу лет и ежемесячная доплата к государственной пенсии</t>
  </si>
  <si>
    <t>Социальные гарантии работникам образования</t>
  </si>
  <si>
    <t>Реализация Закона Сахалинской области "О дополнительных мерах социальной поддержки отдельной категории педагогических работников, проживающих и работающих в Сахалинской области" за счет межбюджетных трансферов</t>
  </si>
  <si>
    <t>Поддержка населения при газификации жилищного фонда</t>
  </si>
  <si>
    <t>Подпрограмма "Обеспечение жильем молодых семей на 2015-2020 годы"</t>
  </si>
  <si>
    <t>Финансирование свидетельств о праве на получение социальной выплаты на приобретение (Строительство) жилья за счет всех источников финансирования, в том числе личных средств граждан</t>
  </si>
  <si>
    <t>Ежемесячное материальное обеспечение лицам, которым присвоено звание "Почетный гражданин города Южно-Сахалинска"</t>
  </si>
  <si>
    <t>Ежемесячная доплата участникам ВОВ, бывшим несовершеннолетним узникам фашизма, гражданам, награжденным знаком "Житель блокадного Ленинграда", участникам ТФ</t>
  </si>
  <si>
    <t>Материальная помощь совершеннолетним воспитанникам детских домов в возрасте от 18 до 23 лет</t>
  </si>
  <si>
    <t>Материальная помощь семьям при рождении одновременно 3-х и более детей</t>
  </si>
  <si>
    <t>Частичная компенсация стоимости проездного билета на проезд в городском транспорте льготным категориям граждан</t>
  </si>
  <si>
    <t>Доплата к ежемесячному пособию на ребенка семьям, имеющим детей, которым назначена пенсия по случаю потери кормильца, и детей, которым назначена пенсия по инвалидности</t>
  </si>
  <si>
    <t>Единовременная выплата детям-инвалидам и детям, потерявшим кормильца, к 1 сентября</t>
  </si>
  <si>
    <t>Материальная помощь гражданам, оказавшимся в трудной жизненной ситуации</t>
  </si>
  <si>
    <t>Социальные гарантии работникам учреждений культуры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</si>
  <si>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в сфере образования" на питание учащихся за счет межбюджетных трансфертов</t>
  </si>
  <si>
    <t>Создание условий для полноценной жизни инвалидов, их интеграции в общество</t>
  </si>
  <si>
    <t>Финансовая поддержка на развитие уставной деятельности местных общественных организаций, осуществляющих социальную поддержку и защиту инвалидов</t>
  </si>
  <si>
    <t>Оказание материальной помощи инвалидам, оказавшимся в трудной жизненной ситуации</t>
  </si>
  <si>
    <t>Развитие национального спорта</t>
  </si>
  <si>
    <t>Повышение эффективности управления муниципальным долгом</t>
  </si>
  <si>
    <t>Подпрограмма "Переселение граждан из аварийного и непригодного для проживания жилищного фонда на территории городского округа "Город Южно-Сахалинск" в 2015-2020 годах"</t>
  </si>
  <si>
    <t>Подпрограмма "Развитие водохозяйственного комплекса в городском округе "Город Южно-Сахалинск"</t>
  </si>
  <si>
    <t>Подпрограмма "Развитие системы градостроительной деятельности на 2015-2020 годы"</t>
  </si>
  <si>
    <t>Муниципальная программа "Охрана окружающей среды на территории городского округа "Город Южно-Сахалинск" на 2015-2020 годы"</t>
  </si>
  <si>
    <t>Реконструкция и строительство объектов инженерной инфраструктуры</t>
  </si>
  <si>
    <t>Единовременная денежная выплата к 9 мая</t>
  </si>
  <si>
    <t>Подготовка, обновление топографических карт и планов населённых пунктов городского округа в масштабах 1:5000, 1:2000, 1:500</t>
  </si>
  <si>
    <t>Денежная выплата врачам амбулаторно-поликлинического звена учреждений здравоохранения, расположенных на территории городского округа "Город Южно-Сахалинск"</t>
  </si>
  <si>
    <t>Дополнительная мера социальной  поддержки по обеспечению отдельных категорий граждан льготным проездом в городском транспорте общего пользования</t>
  </si>
  <si>
    <t>Материальная помощь семьям, имеющим несовершеннолетних детей, находящимся в трудной жизненной ситуации</t>
  </si>
  <si>
    <t xml:space="preserve">Восстановление и экологическая реабилитация водных объектов </t>
  </si>
  <si>
    <t>2230000000</t>
  </si>
  <si>
    <t>2230200000</t>
  </si>
  <si>
    <t>1200000000</t>
  </si>
  <si>
    <t>1200400000</t>
  </si>
  <si>
    <t>1500000000</t>
  </si>
  <si>
    <t>1510000000</t>
  </si>
  <si>
    <t>1520000000</t>
  </si>
  <si>
    <t>1100000000</t>
  </si>
  <si>
    <t>1100500000</t>
  </si>
  <si>
    <t>Обеспечение (строительство, реконструкция), земельных участков инженерной и транспортной инфраструктурой, приобретение объектов инженерной и транспортной инфраструктуры</t>
  </si>
  <si>
    <t>Мероприятия государственной программы Сахалинской области "Обеспечение населения Сахалинской области качественным жильём на 2014-2020 годы"</t>
  </si>
  <si>
    <t>Обустройство, формирование земельных участков, подлежащих предоставлению семьям, имеющим трех и более детей</t>
  </si>
  <si>
    <t>1400000000</t>
  </si>
  <si>
    <t>1400100000</t>
  </si>
  <si>
    <t>1550000000</t>
  </si>
  <si>
    <t>1550300000</t>
  </si>
  <si>
    <t>1550500000</t>
  </si>
  <si>
    <t>2000000000</t>
  </si>
  <si>
    <t>2010000000</t>
  </si>
  <si>
    <t>2010200000</t>
  </si>
  <si>
    <t>0170000000</t>
  </si>
  <si>
    <t>0100000000</t>
  </si>
  <si>
    <t>0170100000</t>
  </si>
  <si>
    <t>1900000000</t>
  </si>
  <si>
    <t>1900600000</t>
  </si>
  <si>
    <t>1700000000</t>
  </si>
  <si>
    <t>1700400000</t>
  </si>
  <si>
    <t>0900000000</t>
  </si>
  <si>
    <t>0910000000</t>
  </si>
  <si>
    <t>0910100000</t>
  </si>
  <si>
    <t>0910200000</t>
  </si>
  <si>
    <t>0920000000</t>
  </si>
  <si>
    <t>0920100000</t>
  </si>
  <si>
    <t>0920200000</t>
  </si>
  <si>
    <t>0920300000</t>
  </si>
  <si>
    <t>Расходы на обеспечение деятельности (оказание услуг) муниципальных учреждений</t>
  </si>
  <si>
    <t>Выполнение научно-исследовательских и опытно-конструкторских работ в сфере дорожного хозяйства, капитальный ремонт, ремонт и содержание улично-дорожной сети, автомобильных дорог общего пользования местного значения, элементов их обустройства и искусственных сооружений на них</t>
  </si>
  <si>
    <t xml:space="preserve">Софинансирование субсидии на осуществление функций административного центра Сахалинской области </t>
  </si>
  <si>
    <t>09102S3190</t>
  </si>
  <si>
    <t>0910263190</t>
  </si>
  <si>
    <t>Иные обязательства, возникающие при реализации муниципальных программ</t>
  </si>
  <si>
    <t>1200800000</t>
  </si>
  <si>
    <t>1200820990</t>
  </si>
  <si>
    <t>1600000000</t>
  </si>
  <si>
    <t>1610000000</t>
  </si>
  <si>
    <t>1610100000</t>
  </si>
  <si>
    <t>1610120080</t>
  </si>
  <si>
    <t>1200300000</t>
  </si>
  <si>
    <t>1200500000</t>
  </si>
  <si>
    <t>1200700000</t>
  </si>
  <si>
    <t>1200320990</t>
  </si>
  <si>
    <t>1200400590</t>
  </si>
  <si>
    <t>1200420990</t>
  </si>
  <si>
    <t>1200480050</t>
  </si>
  <si>
    <t>1200480250</t>
  </si>
  <si>
    <t>1200500590</t>
  </si>
  <si>
    <t>1200520990</t>
  </si>
  <si>
    <t>1200700590</t>
  </si>
  <si>
    <t>1200720990</t>
  </si>
  <si>
    <t>2600000000</t>
  </si>
  <si>
    <t>2620000000</t>
  </si>
  <si>
    <t>0300200000</t>
  </si>
  <si>
    <t>0300000000</t>
  </si>
  <si>
    <t>5600000000</t>
  </si>
  <si>
    <t>5620000000</t>
  </si>
  <si>
    <t>Расходы на обеспечение функций органов местного самоуправления</t>
  </si>
  <si>
    <t>5620000190</t>
  </si>
  <si>
    <t>Субсидия владельцам личных подсобных хозяйств на возмещение части затрат по производству и поставке молока перерабатывающим предприятиям</t>
  </si>
  <si>
    <t>0800000000</t>
  </si>
  <si>
    <t>0800100000</t>
  </si>
  <si>
    <t>0800180110</t>
  </si>
  <si>
    <t>0800300000</t>
  </si>
  <si>
    <t>0800380130</t>
  </si>
  <si>
    <t>0800600000</t>
  </si>
  <si>
    <t>0800620990</t>
  </si>
  <si>
    <t>0920180050</t>
  </si>
  <si>
    <t>2200000000</t>
  </si>
  <si>
    <t>5500000000</t>
  </si>
  <si>
    <t>5520462010</t>
  </si>
  <si>
    <t>Субвенция на реализацию Закона Сахалинской области от 30 апреля 2004 года № 500 "Об административных комиссиях в Сахалинской области"</t>
  </si>
  <si>
    <t>Субвенция на реализацию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</si>
  <si>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Расходы на содержание "Мест временного расселения граждан, лишившихся жилья"</t>
  </si>
  <si>
    <t>Повышение безопасности пассажирских перевозок</t>
  </si>
  <si>
    <t>0920700000</t>
  </si>
  <si>
    <t>22302S3120</t>
  </si>
  <si>
    <t>Субвенция на реализацию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</si>
  <si>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Субвенция на реализацию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</si>
  <si>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5520462210</t>
  </si>
  <si>
    <t>5520462600</t>
  </si>
  <si>
    <t>0170500000</t>
  </si>
  <si>
    <t>0170500590</t>
  </si>
  <si>
    <t>Подпрограмма "Обеспечение пожарной безопасности в городском округе "Город Южно-Сахалинск"</t>
  </si>
  <si>
    <t>2210000000</t>
  </si>
  <si>
    <t xml:space="preserve">Софинансирование мероприятий по охране окружающей среды, экологической реабилитации и воспроизводству природных объектов </t>
  </si>
  <si>
    <t>2210400000</t>
  </si>
  <si>
    <t>2210420990</t>
  </si>
  <si>
    <t>1200100000</t>
  </si>
  <si>
    <t>1200120990</t>
  </si>
  <si>
    <t>Субвенция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</si>
  <si>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0110162240</t>
  </si>
  <si>
    <t>2220000000</t>
  </si>
  <si>
    <t>2220100000</t>
  </si>
  <si>
    <t>Создание и использование муниципального резерва материальных ресурсов для ликвидации чрезвычайных ситуаций природного и техногенного характера</t>
  </si>
  <si>
    <t>2220120110</t>
  </si>
  <si>
    <t>2220120990</t>
  </si>
  <si>
    <t>0160162100</t>
  </si>
  <si>
    <t>0160000000</t>
  </si>
  <si>
    <t>0910120080</t>
  </si>
  <si>
    <t>0910120980</t>
  </si>
  <si>
    <t xml:space="preserve">Бюджетные инвестиции </t>
  </si>
  <si>
    <t>0300200190</t>
  </si>
  <si>
    <t>Дополнительное профессиональное образование муниципальных служащих</t>
  </si>
  <si>
    <t>0300220400</t>
  </si>
  <si>
    <t>Субвенция на реализацию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</si>
  <si>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0120262230</t>
  </si>
  <si>
    <t>2220300000</t>
  </si>
  <si>
    <t>2220320990</t>
  </si>
  <si>
    <t>2220500000</t>
  </si>
  <si>
    <t>2220520990</t>
  </si>
  <si>
    <t>0120200000</t>
  </si>
  <si>
    <t>0120000000</t>
  </si>
  <si>
    <t>0120300000</t>
  </si>
  <si>
    <t>Резервные средства администрации города</t>
  </si>
  <si>
    <t>5620071000</t>
  </si>
  <si>
    <t>Субсидия некоммерческим организациям на проведение капитального ремонта общего имущества в многоквартирных домах, расположенных на территории городского округа "Город Южно-Сахалинск"</t>
  </si>
  <si>
    <t>1200180170</t>
  </si>
  <si>
    <t>0500000000</t>
  </si>
  <si>
    <t>0600000000</t>
  </si>
  <si>
    <t>0600400000</t>
  </si>
  <si>
    <t>0600420990</t>
  </si>
  <si>
    <t>0700000000</t>
  </si>
  <si>
    <t>0200000000</t>
  </si>
  <si>
    <t>0200200000</t>
  </si>
  <si>
    <t>0200220990</t>
  </si>
  <si>
    <t>0200300000</t>
  </si>
  <si>
    <t>0200320990</t>
  </si>
  <si>
    <t>0200400000</t>
  </si>
  <si>
    <t>0200420990</t>
  </si>
  <si>
    <t>0200500000</t>
  </si>
  <si>
    <t>0200520990</t>
  </si>
  <si>
    <t>0500300000</t>
  </si>
  <si>
    <t>0500380080</t>
  </si>
  <si>
    <t>0600100000</t>
  </si>
  <si>
    <t>0600180090</t>
  </si>
  <si>
    <t>Предоставление субсидий субъектам малого и среднего предпринимательства городского округа "Город Южно-Сахалинск"</t>
  </si>
  <si>
    <t xml:space="preserve">Субсидия на возмещение затрат управляющим организациям от оказания услуг по содержанию жилищного фонда </t>
  </si>
  <si>
    <t>1200200000</t>
  </si>
  <si>
    <t>1200220990</t>
  </si>
  <si>
    <t>1900662100</t>
  </si>
  <si>
    <t>1700100000</t>
  </si>
  <si>
    <t>0170520990</t>
  </si>
  <si>
    <t>0130000000</t>
  </si>
  <si>
    <t>0130300000</t>
  </si>
  <si>
    <t>0130362600</t>
  </si>
  <si>
    <t>0180000000</t>
  </si>
  <si>
    <t>1610120980</t>
  </si>
  <si>
    <t>2000120990</t>
  </si>
  <si>
    <t>2620100000</t>
  </si>
  <si>
    <t>2620120980</t>
  </si>
  <si>
    <t>1700300000</t>
  </si>
  <si>
    <t>5610000000</t>
  </si>
  <si>
    <t>0180600000</t>
  </si>
  <si>
    <t>0180662500</t>
  </si>
  <si>
    <t>Софинансирование мероприятий государственной программы Сахалинской области "Обеспечение населения Сахалинской области качественным жильём на 2014-2020 годы"</t>
  </si>
  <si>
    <t>1000000000</t>
  </si>
  <si>
    <t>1020000000</t>
  </si>
  <si>
    <t>1020100000</t>
  </si>
  <si>
    <t>1020120990</t>
  </si>
  <si>
    <t>1040000000</t>
  </si>
  <si>
    <t>1040200000</t>
  </si>
  <si>
    <t>1040220990</t>
  </si>
  <si>
    <t>0160100000</t>
  </si>
  <si>
    <t>Социальные гарантии работникам учреждений социальной сферы</t>
  </si>
  <si>
    <t>0160140116</t>
  </si>
  <si>
    <t>0160162120</t>
  </si>
  <si>
    <t>1600140100</t>
  </si>
  <si>
    <t>1600100000</t>
  </si>
  <si>
    <t>Подготовка и проведение мероприятий, посвященных праздничным и юбилейным датам городского округа</t>
  </si>
  <si>
    <t>1620000000</t>
  </si>
  <si>
    <t>1620900000</t>
  </si>
  <si>
    <t>1620920990</t>
  </si>
  <si>
    <t>1620920010</t>
  </si>
  <si>
    <t>2300000000</t>
  </si>
  <si>
    <t>2310000000</t>
  </si>
  <si>
    <t>2310100000</t>
  </si>
  <si>
    <t>2310120990</t>
  </si>
  <si>
    <t>2310183010</t>
  </si>
  <si>
    <t>2310200000</t>
  </si>
  <si>
    <t>2310220010</t>
  </si>
  <si>
    <t>2310300000</t>
  </si>
  <si>
    <t>2310320990</t>
  </si>
  <si>
    <t>2310400000</t>
  </si>
  <si>
    <t>2310420990</t>
  </si>
  <si>
    <t>2010200590</t>
  </si>
  <si>
    <t>1511000000</t>
  </si>
  <si>
    <t xml:space="preserve">Софинансирование мероприятий по безопасности дорожного движения и профилактике правонарушений </t>
  </si>
  <si>
    <t>Проведение мероприятий по развитию АПК "Безопасный город"</t>
  </si>
  <si>
    <t>Проведение профилактических мероприятий пропагандистского и воспитательного характера по формированию у населения толерантного поведения к людям других национальностей и религиозных конфессий, в том числе снятие социальной напряженности в подростковой и молодежной среде, в том числе привлечение представителей общественных объединений и иных некоммерческих организаций к активному участию в мероприятиях, посвященных государственным праздникам, памятным дням и иным областным и городским мероприятиям</t>
  </si>
  <si>
    <t>1010000000</t>
  </si>
  <si>
    <t>1010300000</t>
  </si>
  <si>
    <t>1010320990</t>
  </si>
  <si>
    <t>10103S3100</t>
  </si>
  <si>
    <t>1030000000</t>
  </si>
  <si>
    <t>1030100000</t>
  </si>
  <si>
    <t>1030100590</t>
  </si>
  <si>
    <t>1560000000</t>
  </si>
  <si>
    <t>1560100000</t>
  </si>
  <si>
    <t>1560120990</t>
  </si>
  <si>
    <t>0140000000</t>
  </si>
  <si>
    <t>0140400000</t>
  </si>
  <si>
    <t>0140400590</t>
  </si>
  <si>
    <t>0140462180</t>
  </si>
  <si>
    <t>0140100590</t>
  </si>
  <si>
    <t>0140100000</t>
  </si>
  <si>
    <t>0140200000</t>
  </si>
  <si>
    <t>0140200590</t>
  </si>
  <si>
    <t>0140300000</t>
  </si>
  <si>
    <t>0140420990</t>
  </si>
  <si>
    <t>5530000000</t>
  </si>
  <si>
    <t>5530100000</t>
  </si>
  <si>
    <t>5530100110</t>
  </si>
  <si>
    <t>5530200000</t>
  </si>
  <si>
    <t>5530200110</t>
  </si>
  <si>
    <t>5530400000</t>
  </si>
  <si>
    <t>5530400110</t>
  </si>
  <si>
    <t>5520000000</t>
  </si>
  <si>
    <t>5520400000</t>
  </si>
  <si>
    <t>5520400110</t>
  </si>
  <si>
    <t>Исполнительно-распорядительные органы местного самоуправления</t>
  </si>
  <si>
    <t>0110000000</t>
  </si>
  <si>
    <t>0110100000</t>
  </si>
  <si>
    <t>0110200000</t>
  </si>
  <si>
    <t>0110200590</t>
  </si>
  <si>
    <t>Представительные органы местного самоуправления</t>
  </si>
  <si>
    <t>5510000000</t>
  </si>
  <si>
    <t>5510000110</t>
  </si>
  <si>
    <t>1560200000</t>
  </si>
  <si>
    <t>1560220990</t>
  </si>
  <si>
    <t>1610120990</t>
  </si>
  <si>
    <t>1610200000</t>
  </si>
  <si>
    <t>1610200590</t>
  </si>
  <si>
    <t>1610220990</t>
  </si>
  <si>
    <t>1610300000</t>
  </si>
  <si>
    <t>1610383020</t>
  </si>
  <si>
    <t>1610400000</t>
  </si>
  <si>
    <t>1610440114</t>
  </si>
  <si>
    <t>1560600000</t>
  </si>
  <si>
    <t>0400000000</t>
  </si>
  <si>
    <t>0400500000</t>
  </si>
  <si>
    <t>0400520990</t>
  </si>
  <si>
    <t>1400200000</t>
  </si>
  <si>
    <t>1400240115</t>
  </si>
  <si>
    <t>1800000000</t>
  </si>
  <si>
    <t>1800100000</t>
  </si>
  <si>
    <t>1800100590</t>
  </si>
  <si>
    <t>1010100000</t>
  </si>
  <si>
    <t xml:space="preserve">Субвенция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(на учебно-вспомогательные пособия)
</t>
  </si>
  <si>
    <t>0110262240</t>
  </si>
  <si>
    <t>5610100000</t>
  </si>
  <si>
    <t>5610100590</t>
  </si>
  <si>
    <t xml:space="preserve">Учреждения по обеспечению хозяйственного обслуживания </t>
  </si>
  <si>
    <t>Совершенствование системы профилактики потребления наркотиков без назначения врача среди детей и подростков</t>
  </si>
  <si>
    <t>1020200000</t>
  </si>
  <si>
    <t>1020220990</t>
  </si>
  <si>
    <t>1700120990</t>
  </si>
  <si>
    <t xml:space="preserve">Софинансирование мероприятий по организации электро-, тепло- и газоснабжения </t>
  </si>
  <si>
    <t>14002S3160</t>
  </si>
  <si>
    <t>Предоставление социальных выплат отдельным категориям граждан для обеспечения жильем</t>
  </si>
  <si>
    <t>1520400000</t>
  </si>
  <si>
    <t>1700172010</t>
  </si>
  <si>
    <t>Другие вопросы в области средств массовой информации</t>
  </si>
  <si>
    <t>1530000000</t>
  </si>
  <si>
    <t>1530100000</t>
  </si>
  <si>
    <t>Софинансирование мероприятий по государственной поддержке на улучшение жилищных условий молодых семей</t>
  </si>
  <si>
    <t>1600200000</t>
  </si>
  <si>
    <t>1600240101</t>
  </si>
  <si>
    <t>Предоставление мер социальной поддержки отдельным категориям работников бюджетной сферы, вышедшим на пенсию</t>
  </si>
  <si>
    <t>1600300000</t>
  </si>
  <si>
    <t>1600340102</t>
  </si>
  <si>
    <t>2320000000</t>
  </si>
  <si>
    <t>2320100000</t>
  </si>
  <si>
    <t>5610700000</t>
  </si>
  <si>
    <t>5610700590</t>
  </si>
  <si>
    <t>0150000000</t>
  </si>
  <si>
    <t>0150200000</t>
  </si>
  <si>
    <t>0150200590</t>
  </si>
  <si>
    <t>0150300000</t>
  </si>
  <si>
    <t>0150300590</t>
  </si>
  <si>
    <t>1620100000</t>
  </si>
  <si>
    <t>1620140103</t>
  </si>
  <si>
    <t>1620200000</t>
  </si>
  <si>
    <t>1620240104</t>
  </si>
  <si>
    <t>5610200000</t>
  </si>
  <si>
    <t>5610200590</t>
  </si>
  <si>
    <t>5610300000</t>
  </si>
  <si>
    <t>5610300590</t>
  </si>
  <si>
    <t>Учреждения по обеспечению аналитического и информационного сопровождения деятельности исполнительно-распорядительного органа местного самоуправления</t>
  </si>
  <si>
    <t>Учреждения по обеспечению деятельности в сфере строительства, реконструкции, капитального ремонта и проектирования объектов капитального строительства</t>
  </si>
  <si>
    <t>1620300000</t>
  </si>
  <si>
    <t>1620340105</t>
  </si>
  <si>
    <t>1620400000</t>
  </si>
  <si>
    <t>1620440106</t>
  </si>
  <si>
    <t>1620500000</t>
  </si>
  <si>
    <t>1620540107</t>
  </si>
  <si>
    <t>5620900000</t>
  </si>
  <si>
    <t>5620900990</t>
  </si>
  <si>
    <t>Другие расходы по реализации государственных функций, связанных с общегосударственным управлением</t>
  </si>
  <si>
    <t>Иные расходы органов местного самоуправления</t>
  </si>
  <si>
    <t>2320120990</t>
  </si>
  <si>
    <t>1620600000</t>
  </si>
  <si>
    <t>1620640108</t>
  </si>
  <si>
    <t>1620700000</t>
  </si>
  <si>
    <t>1620740109</t>
  </si>
  <si>
    <t>1620800000</t>
  </si>
  <si>
    <t>1620840110</t>
  </si>
  <si>
    <t>Подпрограмма "Информатизация  2016-2020 годы"</t>
  </si>
  <si>
    <t>Информатизация</t>
  </si>
  <si>
    <t>2330000000</t>
  </si>
  <si>
    <t>2330100000</t>
  </si>
  <si>
    <t>2330120400</t>
  </si>
  <si>
    <t>2330120990</t>
  </si>
  <si>
    <t>0180600590</t>
  </si>
  <si>
    <t>Развитие библиотечного дела</t>
  </si>
  <si>
    <t>Развитие исполнительских искусств</t>
  </si>
  <si>
    <t>Развитие культурно-досугового обслуживания</t>
  </si>
  <si>
    <t>1900200000</t>
  </si>
  <si>
    <t>1900200590</t>
  </si>
  <si>
    <t>1900300000</t>
  </si>
  <si>
    <t>1900300590</t>
  </si>
  <si>
    <t>1900400000</t>
  </si>
  <si>
    <t>1900400590</t>
  </si>
  <si>
    <t>Строительство, реконструкция, капитальный ремонт, ремонт спортивных объектов и сооружений на территории городского округа "Город Южно-Сахалинск"</t>
  </si>
  <si>
    <t>1700100590</t>
  </si>
  <si>
    <t>17001S3130</t>
  </si>
  <si>
    <t>1700300590</t>
  </si>
  <si>
    <t>1621000000</t>
  </si>
  <si>
    <t>1621040111</t>
  </si>
  <si>
    <t>1621100000</t>
  </si>
  <si>
    <t>1621140112</t>
  </si>
  <si>
    <t>1621200000</t>
  </si>
  <si>
    <t>1621240113</t>
  </si>
  <si>
    <t>1900640116</t>
  </si>
  <si>
    <t>0120200590</t>
  </si>
  <si>
    <t>0120300590</t>
  </si>
  <si>
    <t>2630000000</t>
  </si>
  <si>
    <t>263В200000</t>
  </si>
  <si>
    <t>263В220990</t>
  </si>
  <si>
    <t>1300000000</t>
  </si>
  <si>
    <t>0130200000</t>
  </si>
  <si>
    <t>0130200590</t>
  </si>
  <si>
    <t>5610500000</t>
  </si>
  <si>
    <t>5610500590</t>
  </si>
  <si>
    <t>Учреждения по  организации мониторинга коммунального комплекса и санитарного состояния городского округа</t>
  </si>
  <si>
    <t>Признание в установленном порядке жилых домов аварийными или непригодными для проживания. Проведение обследования и предоставление заключений об аварийности жилых домов</t>
  </si>
  <si>
    <t>2320100590</t>
  </si>
  <si>
    <t>11005S3060</t>
  </si>
  <si>
    <t>1100100000</t>
  </si>
  <si>
    <t>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назначения, в том числе снос многоквартирных аварийных домов</t>
  </si>
  <si>
    <t>1510500000</t>
  </si>
  <si>
    <t>15105S3030</t>
  </si>
  <si>
    <t>1510520990</t>
  </si>
  <si>
    <t xml:space="preserve">Предоставление мер социальной поддержки работникам образовательных организаций в соответствии с законами Сахалинской области
</t>
  </si>
  <si>
    <t>0160500000</t>
  </si>
  <si>
    <t>0700200000</t>
  </si>
  <si>
    <t>0700280100</t>
  </si>
  <si>
    <t>Субсидия на возмещение части экономически обоснованных затрат по содержанию бань</t>
  </si>
  <si>
    <t>0400400000</t>
  </si>
  <si>
    <t>0400400590</t>
  </si>
  <si>
    <t>1010100590</t>
  </si>
  <si>
    <t>1020200590</t>
  </si>
  <si>
    <t>0180680020</t>
  </si>
  <si>
    <t>Субсидия субъектам малого и среднего предпринимательства на возмещение расходов (компенсацию затрат), связанных с организацией питания обучающихся</t>
  </si>
  <si>
    <t>1900700000</t>
  </si>
  <si>
    <t>1900772020</t>
  </si>
  <si>
    <t>1900800000</t>
  </si>
  <si>
    <t>1900800590</t>
  </si>
  <si>
    <t>0180662190</t>
  </si>
  <si>
    <t>Актуализация перспективных схем коммунальной инфраструктуры городского округа "Город Южно-Сахалинск"</t>
  </si>
  <si>
    <t>1100600000</t>
  </si>
  <si>
    <t>1100620990</t>
  </si>
  <si>
    <t>Предоставление субсидий юридическим лицам (за исключением государственных (муниципальных) учреждений) и индивидуальным предпринимателям на компенсацию затрат или недополученных доходов в сфере ЖКХ</t>
  </si>
  <si>
    <t>1100700000</t>
  </si>
  <si>
    <t>1900700590</t>
  </si>
  <si>
    <t>Субсидия юридическим лицам (за исключением государственных (муниципальных)учреждений) и индивидуальным предпринимателям на возмещение затрат по оплате услуг информационных систем, обеспечивающих сбор, обработку и хранение данных о платежах за коммунальные услуги, выставление платежных документов на оплату коммунальных услуг</t>
  </si>
  <si>
    <t>0120400000</t>
  </si>
  <si>
    <t>0120472010</t>
  </si>
  <si>
    <t>Премия поддержки Городской Думы в сфере образования, культуры и искусства</t>
  </si>
  <si>
    <t>0120472020</t>
  </si>
  <si>
    <t>0120500000</t>
  </si>
  <si>
    <t>0120572010</t>
  </si>
  <si>
    <t>0160572010</t>
  </si>
  <si>
    <t>0160600000</t>
  </si>
  <si>
    <t>0160620990</t>
  </si>
  <si>
    <t>Субсидия субъектам малого и среднего предпринимательства на возмещение расходов (компенсацию затрат), связанных с оказанием услуг дошкольного образования, присмотра и ухода</t>
  </si>
  <si>
    <t>0600180030</t>
  </si>
  <si>
    <t>Субсидия субъектам малого и среднего предпринимательства на возмещение расходов (компенсацию затрат), связанных с  осуществлением деятельности по предоставлению услуг дополнительного образования детей</t>
  </si>
  <si>
    <t>0600180040</t>
  </si>
  <si>
    <t>0920500000</t>
  </si>
  <si>
    <t>1030200000</t>
  </si>
  <si>
    <t>0600500000</t>
  </si>
  <si>
    <t>1800400000</t>
  </si>
  <si>
    <t>1800400590</t>
  </si>
  <si>
    <t>1800500000</t>
  </si>
  <si>
    <t>1800500590</t>
  </si>
  <si>
    <t>1020383010</t>
  </si>
  <si>
    <t>Поддержка талантливых детей, молодежи, работников творческих коллективов в сфере образования, культуры и искусства, физической культуры и спорта, молодежной политики в виде премий, разовых стипендий</t>
  </si>
  <si>
    <t>1900872010</t>
  </si>
  <si>
    <t>Осуществление переданных полномочий Сахалинской области по опеке и попечительству</t>
  </si>
  <si>
    <t>Обустройство опасных участков дорог преимущественно у дошкольных и школьных детских учреждений искусственными неровностями (ИДН)</t>
  </si>
  <si>
    <t>Ликвидация несанкционированных свалок</t>
  </si>
  <si>
    <t>Подпрограмма "Отходы производства и потребления в городского округе "Город Южно-Сахалинск" "</t>
  </si>
  <si>
    <t>Мероприятия по финансовому обеспечению муниципального задания на оказание муниципальных услуг (выполнение работ) муниципальным бюджетным учреждением</t>
  </si>
  <si>
    <t>Информирование населения о деятельности органов МСУ городского округа "Город Южно-Сахалинск"</t>
  </si>
  <si>
    <t>2100273000</t>
  </si>
  <si>
    <t>Учреждение по организации транспортного обслуживания и создание условий для предоставления транспортных услуг населению в границах городского округа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</si>
  <si>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</si>
  <si>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 xml:space="preserve">Код целевой статьи </t>
  </si>
  <si>
    <t>Финансовая поддержка субъектов инвестиционной деятельности</t>
  </si>
  <si>
    <t>5610800000</t>
  </si>
  <si>
    <t>5610800590</t>
  </si>
  <si>
    <t>Учреждение по организации информационно-финансового обеспечения земельными ресурсами городского округа</t>
  </si>
  <si>
    <t>2100000000</t>
  </si>
  <si>
    <t>2100200000</t>
  </si>
  <si>
    <t>1040900000</t>
  </si>
  <si>
    <t>1040920400</t>
  </si>
  <si>
    <t xml:space="preserve">Предоставление субсидии из бюджета городского округа на возмещение части затрат сельскохозяйственным товаропроизводителям на повышение плодородия земель, занятых под картофель, овощи и кормовые угодья </t>
  </si>
  <si>
    <t xml:space="preserve">Субсидия на возмещение части затрат сельскохозяйственным товаропроизводителям на повышение плодородия земель, занятых под картофель, овощи и кормовые угодья   </t>
  </si>
  <si>
    <t>Ежемесячная денежная выплата работникам, имеющим почетное звание «Заслуженный работник культуры Сахалинской области»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</si>
  <si>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</si>
  <si>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1900671901</t>
  </si>
  <si>
    <t>1900670501</t>
  </si>
  <si>
    <t>1900670601</t>
  </si>
  <si>
    <t>1700170601</t>
  </si>
  <si>
    <t>Ежемесячные денежные выплаты и компенсации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</si>
  <si>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1900670901</t>
  </si>
  <si>
    <t>Субвенция на реализацию Закона Сахалинской области от 8 октября 2008 года № 98-ЗО «О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организациях»</t>
  </si>
  <si>
    <t>1030200590</t>
  </si>
  <si>
    <t>0160170501</t>
  </si>
  <si>
    <t>0160170601</t>
  </si>
  <si>
    <t>Иные закупки товаров, работ и услуг для обеспечения государственных (муниципальных) нужд</t>
  </si>
  <si>
    <t>240</t>
  </si>
  <si>
    <t>0170600000</t>
  </si>
  <si>
    <t>Благоустройство территории дошкольных образовательных учреждений</t>
  </si>
  <si>
    <t>Расходы на выплаты персоналу государственных (муниципальных) органов</t>
  </si>
  <si>
    <t>Расходы на выплаты персоналу казенных учреждений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</si>
  <si>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</si>
  <si>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</si>
  <si>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Публичные нормативные социальные выплаты гражданам</t>
  </si>
  <si>
    <t>Исполнение судебных актов</t>
  </si>
  <si>
    <t>Софинансирование субсидии областного бюджета на софинансирование капитальных вложений в объекты муниципальной собственности</t>
  </si>
  <si>
    <t>11001S3500</t>
  </si>
  <si>
    <t>14001S3500</t>
  </si>
  <si>
    <t>01701S3500</t>
  </si>
  <si>
    <t>17004S3500</t>
  </si>
  <si>
    <t>2000100000</t>
  </si>
  <si>
    <t>Субсидия на софинансирование капитальных вложений в объекты муниципальной собственности</t>
  </si>
  <si>
    <t>1700463500</t>
  </si>
  <si>
    <t>0170163500</t>
  </si>
  <si>
    <t>Благоустройство территории общеобразовательных учреждений</t>
  </si>
  <si>
    <t>0170700000</t>
  </si>
  <si>
    <t>0140300590</t>
  </si>
  <si>
    <t>0160170901</t>
  </si>
  <si>
    <t>Социальная поддержка граждан - Забота" на 2015 - 2020 годы"</t>
  </si>
  <si>
    <t>Строительство (приобретение) жилых помещений для предоставления многодетным семьям, имеющим 3 и более детей, нуждающимся в улучшении жилищных условий жилого помещения по договору социального найма</t>
  </si>
  <si>
    <t>1621320980</t>
  </si>
  <si>
    <t>0920400000</t>
  </si>
  <si>
    <t>Субвенция на реализацию Закона Сахалинской области от 15.05.2015 № 31-ЗО «О наделение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</si>
  <si>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0400162260</t>
  </si>
  <si>
    <t>0400762260</t>
  </si>
  <si>
    <t>0400662260</t>
  </si>
  <si>
    <t>Материальная помощь на оплату стоимости проезда детям из социально незащищенных семей к месту отдыха и оздоровления за пределы Сахалинской области на территории Российской Федерации</t>
  </si>
  <si>
    <t>Материальная помощь на проведение внеплановых аварийных и ремонтных работ ветеранам Великой Отечественной войны 1941-1945 годов, бывшим несовершеннолетним узникам концлагерей, гетто и других мест принудительного содержания</t>
  </si>
  <si>
    <t>1621400000</t>
  </si>
  <si>
    <t>1621440116</t>
  </si>
  <si>
    <t>1621500000</t>
  </si>
  <si>
    <t>1621540117</t>
  </si>
  <si>
    <t>Субсидии муниципальному унитарному предприятию на возмещение затрат по содержанию, реконструкции (модернизации)  объектов наружного освещения, световой наружной иллюминации  и светофорных объектов, находящихся в муниципальной собственности городского округа «Город Южно-Сахалинск»</t>
  </si>
  <si>
    <t>0170700590</t>
  </si>
  <si>
    <t>Субсидия на возмещение части затрат, связанных с оказанием транспортных услуг населению городского округа «Город Южно-Сахалинск»</t>
  </si>
  <si>
    <t xml:space="preserve">Субсидия на возмещение затрат, связанных с выполнением мероприятий по капитальному ремонту объектов коммунальной инфраструктуры, находящихся в муниципальной собственности </t>
  </si>
  <si>
    <t>1100780240</t>
  </si>
  <si>
    <t>0400262260</t>
  </si>
  <si>
    <t>Расходы на выплаты работникам органов местного самоуправления</t>
  </si>
  <si>
    <t>2240000000</t>
  </si>
  <si>
    <t>2240300000</t>
  </si>
  <si>
    <t>2240320100</t>
  </si>
  <si>
    <t>2320300000</t>
  </si>
  <si>
    <t>2320320990</t>
  </si>
  <si>
    <t>Изготовление и размещение общественно-значимой информации и информации о социальных проектах</t>
  </si>
  <si>
    <t>Подпрограмма "Строительство, реконструкция и капитальные ремонты образовательных учреждений "</t>
  </si>
  <si>
    <t xml:space="preserve">Строительство (приобретение на первичном и вторичном рынке) служебного жилья </t>
  </si>
  <si>
    <t>1520600000</t>
  </si>
  <si>
    <t>Строительство спортивных залов в общеобразовательных учреждениях</t>
  </si>
  <si>
    <t>0170200000</t>
  </si>
  <si>
    <t>5520462280</t>
  </si>
  <si>
    <t>Субвенция на реализацию государственных полномочий Сахалинской области в сфере перевозок пассажиров и багажа всеми видами общественного транспорта в городском и пригородном сообщении (кроме железнодорожного транспорта)</t>
  </si>
  <si>
    <t>1500200000</t>
  </si>
  <si>
    <t>Проведение работ (услуг), связанных с заключением соглашений об установлении сервитутов для муниципальных нужд на территории городского округа "Город Южно-Сахалинск"</t>
  </si>
  <si>
    <t>1500220990</t>
  </si>
  <si>
    <t xml:space="preserve">Молодежная политика </t>
  </si>
  <si>
    <t>Дополнительное образование детей</t>
  </si>
  <si>
    <t>0703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</si>
  <si>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</si>
  <si>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0120220990</t>
  </si>
  <si>
    <t>0120320990</t>
  </si>
  <si>
    <t>0120572020</t>
  </si>
  <si>
    <t>0160572020</t>
  </si>
  <si>
    <t>Награждение Почетным знаком</t>
  </si>
  <si>
    <t>Выплата единовременного денежного вознаграждения семьям, награжденным почетным знаком "За заслуги в воспитании детей"</t>
  </si>
  <si>
    <t>0130400000</t>
  </si>
  <si>
    <t>0130440118</t>
  </si>
  <si>
    <t>01702S3500</t>
  </si>
  <si>
    <t>1700162100</t>
  </si>
  <si>
    <t>Подпрограмма "Построение (развитие), внедрение и эксплуатация аппаратно-программного комплекса "Безопасный город" на территории городского округа "Город Южно-Сахалинск"</t>
  </si>
  <si>
    <t>Обслуживание интеллектуальных комплексных систем видеонаблюдения, мониторинга и контроля, включая эксплуатационные расходы</t>
  </si>
  <si>
    <t>Создание и развитие интеллектуальных комплексных систем видеонаблюдения, мониторинга и контроля</t>
  </si>
  <si>
    <t>2240100000</t>
  </si>
  <si>
    <t>2240200000</t>
  </si>
  <si>
    <t>2240220100</t>
  </si>
  <si>
    <t>1200980180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</si>
  <si>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предпринимателям, физическим лицам на компенсацию затрат или недополученных доходов в сфере жилищного хозяйства</t>
  </si>
  <si>
    <t>1200900000</t>
  </si>
  <si>
    <t>1510400000</t>
  </si>
  <si>
    <t>1510420990</t>
  </si>
  <si>
    <t>Физическая культура</t>
  </si>
  <si>
    <t>0600583010</t>
  </si>
  <si>
    <t>15301S0200</t>
  </si>
  <si>
    <t>1400263160</t>
  </si>
  <si>
    <t>Организация электро- тепло- газоснабжения за счёт межбюджетных трансфертов</t>
  </si>
  <si>
    <t>0200280010</t>
  </si>
  <si>
    <t>Подпрограмма  "Реконструкция скверов, бульваров и зеленых ландшафтных зон на территории городского округа "Город Южно-Сахалинск" на 2015 - 2020 годы"</t>
  </si>
  <si>
    <t>Выполнение работ (оказание услуг), связанных с разработкой проектов благоустройства территории городского округа  "Город Южно-Сахалинск"</t>
  </si>
  <si>
    <t>2620300000</t>
  </si>
  <si>
    <t>2620380010</t>
  </si>
  <si>
    <t>Субсидия на возмещение затрат, связанных с осуществлением градостроительной деятельности на территории городского округа "Город Южно-Сахалинск" (Подготовка, обновление топографических карт и планов населённых пунктов городского округа в масштабах 1:5000, 1:2000, 1:500)</t>
  </si>
  <si>
    <t>Проведение ремонта жилья коренных народов в местах их традиционного проживания и традиционной хозяйственной деятельности</t>
  </si>
  <si>
    <t>0400300000</t>
  </si>
  <si>
    <t>Проведение мероприятий по регулированию численности безнадзорных животных</t>
  </si>
  <si>
    <t>1200600000</t>
  </si>
  <si>
    <t>Осуществление переданных полномочий Сахалинской области по организации проведения на территории Сахалинской области мероприятий по регулированию численности безнадзорных животных за счёт межбюджетных трансфертов</t>
  </si>
  <si>
    <t>1200662200</t>
  </si>
  <si>
    <t>1100163500</t>
  </si>
  <si>
    <t>15503S3500</t>
  </si>
  <si>
    <t>15505S3500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</si>
  <si>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</si>
  <si>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Возмещение расходов на оплату стоимости найма (поднайма), аренды жилых помещений</t>
  </si>
  <si>
    <t>5610340119</t>
  </si>
  <si>
    <t>0130262230</t>
  </si>
  <si>
    <t>0920220080</t>
  </si>
  <si>
    <t>0920320080</t>
  </si>
  <si>
    <t>0920420080</t>
  </si>
  <si>
    <t>Софинансирование субсидии на софинансирование расходов муниципальных образований в сфере транспорта и дорожного хозяйства</t>
  </si>
  <si>
    <t>12004S3170</t>
  </si>
  <si>
    <t>Строительство и приобретение дошкольных образовательных учреждений</t>
  </si>
  <si>
    <t>0170300000</t>
  </si>
  <si>
    <t>01703S3500</t>
  </si>
  <si>
    <t>Софинансирование субсидии на осуществление мероприятий по повышению качества предоставляемых жилищно-коммунальных услуг</t>
  </si>
  <si>
    <t>1550363500</t>
  </si>
  <si>
    <t>2320180270</t>
  </si>
  <si>
    <t>Субсидия на опубликование нормативных правовых актов о деятельности органов местного самоуправления городского округа "Город Южно-Сахалинск" и информации о деятельности органов местного самоуправления</t>
  </si>
  <si>
    <t>Софинансирование субсидии на софинансирование капитальных вложений в объекты муниципальной собственности</t>
  </si>
  <si>
    <t>15206S3500</t>
  </si>
  <si>
    <t>1520463030</t>
  </si>
  <si>
    <t>5620940119</t>
  </si>
  <si>
    <t>1020100590</t>
  </si>
  <si>
    <t>1510580250</t>
  </si>
  <si>
    <t xml:space="preserve">Софинансирование субсидии муниципальным образованиям на обеспечение населения Сахалинской области качественным жильем </t>
  </si>
  <si>
    <t>15204S3030</t>
  </si>
  <si>
    <t>0920780280</t>
  </si>
  <si>
    <t>5610740119</t>
  </si>
  <si>
    <t>1900983100</t>
  </si>
  <si>
    <t>0170363500</t>
  </si>
  <si>
    <t>0170600590</t>
  </si>
  <si>
    <t>Приобретение жилья в многоквартирных жилых домах для граждан, переселяемых из аварийного или непригодного для проживания жилищного фонда</t>
  </si>
  <si>
    <t>1511100000</t>
  </si>
  <si>
    <t>1511120980</t>
  </si>
  <si>
    <t>Обследование жилищного фонда на предмет целесообразности проведения капитального ремонта</t>
  </si>
  <si>
    <t>Муниципальная программа «Развитие туризма на территории городского округа «Город  Южно-Сахалинск» на 2017 — 2022 годы»</t>
  </si>
  <si>
    <t>2400000000</t>
  </si>
  <si>
    <t>Формирование доступной и комфортной туристской среды</t>
  </si>
  <si>
    <t>2400100000</t>
  </si>
  <si>
    <t>2400120990</t>
  </si>
  <si>
    <t>Создание благоприятных условий для развития туризма на территории городского округа «Город Южно-Сахалинск»</t>
  </si>
  <si>
    <t>2400200000</t>
  </si>
  <si>
    <t>2400220990</t>
  </si>
  <si>
    <t>Продвижение туристского потенциала городского округа «Город Южно-Сахалинск» на внутреннем и внешнем туристских рынках</t>
  </si>
  <si>
    <t>2400300000</t>
  </si>
  <si>
    <t>2400320990</t>
  </si>
  <si>
    <t>2400200590</t>
  </si>
  <si>
    <t xml:space="preserve">Создание условий для духовно-нравственного воспитания, физического развития обучающихся/воспитанников, реализации их творческого потенциала
</t>
  </si>
  <si>
    <t>0130100000</t>
  </si>
  <si>
    <t>0910280250</t>
  </si>
  <si>
    <t>0130420990</t>
  </si>
  <si>
    <t>0130100590</t>
  </si>
  <si>
    <t>0920280250</t>
  </si>
  <si>
    <t>0920380250</t>
  </si>
  <si>
    <t>0920480250</t>
  </si>
  <si>
    <t>1200780250</t>
  </si>
  <si>
    <t>12004S3280</t>
  </si>
  <si>
    <t>Софинансирование субсидии муниципальным образованиям на реализацию в Сахалинской области общественно значимых проектов, основанных на местных инициативах</t>
  </si>
  <si>
    <t>0190000000</t>
  </si>
  <si>
    <t>0190100000</t>
  </si>
  <si>
    <t>0190100590</t>
  </si>
  <si>
    <t>Подпрограмма "Повышение эффективности управления муниципальными финансами, обеспечение качественного бухгалтерского и налогового учета образовательных учреждений"</t>
  </si>
  <si>
    <t>Субвенция на реализацию Закона Сахалинской области от 23 декабря 2005 года № 106-ЗО «О дополнительной гарантии молодежи, проживающей и работающей в Сахалинской области»</t>
  </si>
  <si>
    <t>5610162100</t>
  </si>
  <si>
    <t>5610762100</t>
  </si>
  <si>
    <t>2240520120</t>
  </si>
  <si>
    <t>2240500000</t>
  </si>
  <si>
    <t>Развитие, обслуживание и обеспечение связью единой дежурно-диспетчерской службы города Южно-Сахалинска</t>
  </si>
  <si>
    <t xml:space="preserve">Проведение мероприятий по развитию и оснащению единой дежурно-диспетчерской службы </t>
  </si>
  <si>
    <t>Обеспечение и содержание Мест временного расселения граждан, лишившихся жилья на территории городского округа "Город Южно-Сахалинск"</t>
  </si>
  <si>
    <t>2220700000</t>
  </si>
  <si>
    <t>2220700650</t>
  </si>
  <si>
    <t>1700500000</t>
  </si>
  <si>
    <t>1700500590</t>
  </si>
  <si>
    <t>Обеспечение деятельности Муниципального казенного учреждения "Управление по делам гражданской обороны и чрезвычайным ситуациям города Южно-Сахалинска"</t>
  </si>
  <si>
    <t>2220600000</t>
  </si>
  <si>
    <t>2220600590</t>
  </si>
  <si>
    <t>Гранты для реализации социальных проектов</t>
  </si>
  <si>
    <t>12010S555F</t>
  </si>
  <si>
    <t>1201000000</t>
  </si>
  <si>
    <t>Выполнение работ по проекту: "Концепция оформления и схема размещения объектов и элементов праздничного оформления на территории городского округа "Город Южно-Сахалинска"</t>
  </si>
  <si>
    <t>2600800000</t>
  </si>
  <si>
    <t>2600820990</t>
  </si>
  <si>
    <t>1610163020</t>
  </si>
  <si>
    <t>16101S3020</t>
  </si>
  <si>
    <t>Подпрограмма "Строительство, реконструкция и капитальные ремонты образовательных учреждений"</t>
  </si>
  <si>
    <t xml:space="preserve">Софинансирование субсидии на софинансирование расходных обязательств по поддержке реализации муниципальной программы формирования современной городской среды </t>
  </si>
  <si>
    <t>Организация бухгалтерского учета хозяйственно-финансовой деятельности Учредителя и подведомственных Учредителю муниципальных учреждений</t>
  </si>
  <si>
    <t>1900983110</t>
  </si>
  <si>
    <t>1900900000</t>
  </si>
  <si>
    <t>Субсидии в виде добровольного имущественного взноса автономной некоммерческой организации, созданной в соответствии с решением Городской Думы города Южно-Сахалинска</t>
  </si>
  <si>
    <t>Субсидия некоммерческим организациям, осуществляющим деятельность по оказанию услуг по созданию благоприятной среды и жизнедеятельности населения</t>
  </si>
  <si>
    <t>Организация и обеспечение централизованного ведения бухгалтерского и налогового учета</t>
  </si>
  <si>
    <t>1901000000</t>
  </si>
  <si>
    <t>1901000590</t>
  </si>
  <si>
    <t>Организация бухгалтерского учета финансовой деятельности Учредителя и подведомственных Учредителю муниципальных учреждений</t>
  </si>
  <si>
    <t>Муниципальная программа "Управление муниципальными финансами городского округа Город Южно-Сахалинск" на 2015- 2020 годы"</t>
  </si>
  <si>
    <t>Приоритетный проект «Формирование современной городской среды»</t>
  </si>
  <si>
    <t>0120420990</t>
  </si>
  <si>
    <t>Учреждения по исполнению функций и оказанию услуг в сфере реализации единой жилищной политики</t>
  </si>
  <si>
    <t>5610900000</t>
  </si>
  <si>
    <t>5610900590</t>
  </si>
  <si>
    <t>Софинансирование субсидии муниципальным образованиям на развитие физической культуры и спорта</t>
  </si>
  <si>
    <t>Софинансирование субсидии муниципальным образованиям на обеспечение доступности приоритетных объектов и услуг в приоритетных сферах жизнедеятельности на территории  муниципальных образованиях Сахалинской области</t>
  </si>
  <si>
    <t>2600900000</t>
  </si>
  <si>
    <t>2600983030</t>
  </si>
  <si>
    <t>17003S3130</t>
  </si>
  <si>
    <t>Субвенция на реализацию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</si>
  <si>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04003R5150</t>
  </si>
  <si>
    <t>1100780230</t>
  </si>
  <si>
    <t>5610962080</t>
  </si>
  <si>
    <t>0160500590</t>
  </si>
  <si>
    <t>1200720010</t>
  </si>
  <si>
    <t>1560680410</t>
  </si>
  <si>
    <r>
      <t>Предоставление субсидий субъектам малого и</t>
    </r>
    <r>
      <rPr>
        <sz val="12"/>
        <rFont val="Times New Roman"/>
        <family val="1"/>
        <charset val="204"/>
      </rPr>
      <t xml:space="preserve"> среднего</t>
    </r>
    <r>
      <rPr>
        <sz val="12"/>
        <color theme="1"/>
        <rFont val="Times New Roman"/>
        <family val="1"/>
        <charset val="204"/>
      </rPr>
      <t xml:space="preserve"> предпринимательства городского округа "Город Южно-Сахалинск"</t>
    </r>
  </si>
  <si>
    <t>2400280090</t>
  </si>
  <si>
    <t>Учреждение по обеспечению строительства, реконструкции, капитального ремонта, и проектирования объектов дорожного хозяйства и благоустройства</t>
  </si>
  <si>
    <t>5611000000</t>
  </si>
  <si>
    <t>5611000590</t>
  </si>
  <si>
    <t>1621600000</t>
  </si>
  <si>
    <t>1621640120</t>
  </si>
  <si>
    <t>Дополнительная адресная социальная  поддержка молодых семей, имеющих детей, либо многодетных семей в приобретении жилого помещения в случае предоставления им жилого помещения взамен признанного непригодным для проживания в связи с аварийностью (ветхостью)</t>
  </si>
  <si>
    <t>1621700000</t>
  </si>
  <si>
    <t>1621780281</t>
  </si>
  <si>
    <t>Льготный проезд отдельным категориям граждан</t>
  </si>
  <si>
    <t>Субсидия на возмещение недополученных доходов в связи с обеспечением отдельных категорий граждан льготным проездом в городском сообщении</t>
  </si>
  <si>
    <t xml:space="preserve"> РАСПРЕДЕЛЕНИЕ БЮДЖЕТНЫХ АССИГНОВАНИЙ
городского округа «Город Южно-Сахалинск»
по разделам, подразделам, целевым статьям (муниципальным программам городского округа «Город Южно-Сахалинск» и непрограммным направлениям деятельности), группам (группам и подгруппам) видов расходов классификации  расходов бюджетов на 2018 год                                             </t>
  </si>
  <si>
    <t>0180200000</t>
  </si>
  <si>
    <t>0180220990</t>
  </si>
  <si>
    <t>0190200000</t>
  </si>
  <si>
    <t>0190200590</t>
  </si>
  <si>
    <t>0920520990</t>
  </si>
  <si>
    <t>Реконструкция зданий бюджетной сферы на условиях заключения энергосервисных контрактов</t>
  </si>
  <si>
    <t>1300400000</t>
  </si>
  <si>
    <t>1300400590</t>
  </si>
  <si>
    <t xml:space="preserve">Субсидии бюджетным учреждениям </t>
  </si>
  <si>
    <t>Субсидии автономным учреждениям</t>
  </si>
  <si>
    <t>Мероприятия по продвижению инвестиционного потенциала городского округа "Город Южно-Сахалинск"</t>
  </si>
  <si>
    <t>0500200000</t>
  </si>
  <si>
    <t>0500220990</t>
  </si>
  <si>
    <t>1040900190</t>
  </si>
  <si>
    <t>Субсидии юридическим лицам (за исключением государственных (муниципальных) учреждений) и индивидуальным предпринимателям  на возмещение затрат, связанных с осуществлением градостроительной деятельности на территории городского округа "Город Южно-Сахалинск"</t>
  </si>
  <si>
    <t>2601000000</t>
  </si>
  <si>
    <t>2601020990</t>
  </si>
  <si>
    <t>Выполнение работ по проекту: "Концепция пространственного развития территории городского округа "Город Южно-Сахалинска"</t>
  </si>
  <si>
    <t>2601100000</t>
  </si>
  <si>
    <t>2601120990</t>
  </si>
  <si>
    <t xml:space="preserve">Субсидии автономным учреждениям </t>
  </si>
  <si>
    <t>2210200000</t>
  </si>
  <si>
    <t>2210220990</t>
  </si>
  <si>
    <t>Развитие и материально-техническая модернизация сил и средств гражданской обороны и добровольной пожарной охраны</t>
  </si>
  <si>
    <t>2220200000</t>
  </si>
  <si>
    <t>2220220990</t>
  </si>
  <si>
    <t>Обеспечение и реализация мероприятий в области гражданской обороны и защиты от чрезвычайных ситуаций</t>
  </si>
  <si>
    <t>2240120100</t>
  </si>
  <si>
    <t>2400283010</t>
  </si>
  <si>
    <t>Строительство сооружений инженерной защиты</t>
  </si>
  <si>
    <t>2230100000</t>
  </si>
  <si>
    <t>2230120980</t>
  </si>
  <si>
    <t>0140220990</t>
  </si>
  <si>
    <t>2010220980</t>
  </si>
  <si>
    <t>01705S3010</t>
  </si>
  <si>
    <t>Софинансирование мероприятий государственной программы Сахалинской области "Развитие образования в Сахалинской области на 2014-2020 годы"</t>
  </si>
  <si>
    <t>Капитальный ремонт общеобразовательных учреждений</t>
  </si>
  <si>
    <t>01704S3010</t>
  </si>
  <si>
    <t>0170400000</t>
  </si>
  <si>
    <t>0170120980</t>
  </si>
  <si>
    <t>Софинансирование субсидии  на развитие физической культуры и спорта</t>
  </si>
  <si>
    <t>Гранты на формирование архитектурно-художественного облика города Южно-Сахалинска</t>
  </si>
  <si>
    <t>Субсидии бюджетным учреждениям</t>
  </si>
  <si>
    <t>Предоставление муниципальных грантов в форме субсидий по результатам проводимых конкурсов на выполнение мероприятий по формированию архитектурно-художественного облика города Южно-Сахалинска</t>
  </si>
  <si>
    <t>0910220080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</si>
  <si>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</si>
  <si>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</si>
  <si>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0105</t>
  </si>
  <si>
    <t>5520451200</t>
  </si>
  <si>
    <t>Субсидия муниципальным образованиям на развитие физической культуры и спорта</t>
  </si>
  <si>
    <t>1700163130</t>
  </si>
  <si>
    <t>Реализация мероприятий по охране окружающей среды, экологической реабилитации и воспроизводству природных объектов</t>
  </si>
  <si>
    <t>2230263120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</si>
  <si>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в сфере образования" на выплату компенсации за работу лицам, привлекаемым к подготовке и проведению ЕГЭ</t>
  </si>
  <si>
    <t>0120262500</t>
  </si>
  <si>
    <t>09101S3210</t>
  </si>
  <si>
    <t>0910163210</t>
  </si>
  <si>
    <t>Субсидия на реализацию общественно значимых проектов, основанных на местных инициативах в рамках проекта "Молодёжный бюджет"</t>
  </si>
  <si>
    <t>Софинансирование субсидии на реализацию общественно значимых проектов, основанных на местных инициативах в рамках проекта "Молодёжный бюджет"</t>
  </si>
  <si>
    <t>0120263330</t>
  </si>
  <si>
    <t>01202S3330</t>
  </si>
  <si>
    <t xml:space="preserve">Строительство (реконструкция) автомобильных дорог общего пользования местного значения </t>
  </si>
  <si>
    <t>Софинансирование субсидии на cтроительство (реконструкция) автомобильных дорог общего пользования местного значения</t>
  </si>
  <si>
    <t xml:space="preserve">Предоставление субсидии из бюджета городского округа на развитие агропромышленного комплекса </t>
  </si>
  <si>
    <t xml:space="preserve">Субсидия муниципальным образованиям на развитие агропромышленного комплекса </t>
  </si>
  <si>
    <t>Софинансирование мероприятий по развитию агропромышленного комплекса</t>
  </si>
  <si>
    <t>0800200000</t>
  </si>
  <si>
    <t>0800263180</t>
  </si>
  <si>
    <t>08002S3180</t>
  </si>
  <si>
    <t>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</t>
  </si>
  <si>
    <t>Субсидия на осуществление мероприятий по повышению качества предоставляемых жилищно-коммунальных услуг</t>
  </si>
  <si>
    <t>1100563060</t>
  </si>
  <si>
    <t>Субсидия муниципальным образованиям на обеспечение доступности приоритетных объектов и услуг в приоритетных сферах жизнедеятельности на территории  муниципальных образованиях Сахалинской области</t>
  </si>
  <si>
    <t>0600163320</t>
  </si>
  <si>
    <t>Софинансирование субсидии на софинансирование мероприятий муниципальных программ по поддержке и развитию субъектов малого и среднего предпринимательства</t>
  </si>
  <si>
    <t>06001S3320</t>
  </si>
  <si>
    <t>15110S3500</t>
  </si>
  <si>
    <t>1511063500</t>
  </si>
  <si>
    <t>1510120980</t>
  </si>
  <si>
    <t>1520663500</t>
  </si>
  <si>
    <t>1200163060</t>
  </si>
  <si>
    <t>12001S3060</t>
  </si>
  <si>
    <t>Реализация мероприятий по созданию условий для управления многоквартирными домами</t>
  </si>
  <si>
    <t xml:space="preserve">Субсидия муниципальным образованиям на реализацию мероприятий по созданию условий для управления многоквартирными домами </t>
  </si>
  <si>
    <t xml:space="preserve">Софинансирование субсидии муниципальным образованиям на реализацию мероприятий по созданию условий для управления многоквартирными домами </t>
  </si>
  <si>
    <t>1201100000</t>
  </si>
  <si>
    <t>1201163310</t>
  </si>
  <si>
    <t>12011S3310</t>
  </si>
  <si>
    <t>1530163030</t>
  </si>
  <si>
    <t>15301S3030</t>
  </si>
  <si>
    <t>15301R0200</t>
  </si>
  <si>
    <t>Софинансирование субсидии муниципальным образованиям на обеспечение населения Сахалинской области качественным жильем</t>
  </si>
  <si>
    <t>Субсидия муниципальным образованиям на государственную поддержку на улучшение жилищных условий молодых семей</t>
  </si>
  <si>
    <t>2400163300</t>
  </si>
  <si>
    <t>Субсидия муниципальным образованиям на создание условий для развития туризма</t>
  </si>
  <si>
    <t>1400163500</t>
  </si>
  <si>
    <t>Субсидия на обеспечение населения Сахалинской области качественным жильем</t>
  </si>
  <si>
    <t>Софинансирование субсидии на обеспечение населения Сахалинской области качественным жильем</t>
  </si>
  <si>
    <t>1550563030</t>
  </si>
  <si>
    <t>15505S3030</t>
  </si>
  <si>
    <t>Субсидия на софинансирование расходов муниципальных образований в сфере транспорта и дорожного хозяйства</t>
  </si>
  <si>
    <t>0920763170</t>
  </si>
  <si>
    <t>09207S3170</t>
  </si>
  <si>
    <t>1200463170</t>
  </si>
  <si>
    <t>1621300000</t>
  </si>
  <si>
    <t>Подпрограмма  "Строительство инженерной и транспортной инфраструктуры"</t>
  </si>
  <si>
    <t>Приложение 4
к решению Городской Думы                                           города Южно-Сахалинска 
от 06.12.2017  № 992/52вн-17-5</t>
  </si>
  <si>
    <t>Приложение 1</t>
  </si>
  <si>
    <t>к решению Городской Думы</t>
  </si>
  <si>
    <t>города Южно-Сахалинска</t>
  </si>
  <si>
    <t>0920120080</t>
  </si>
  <si>
    <t>Профессиональная подготовка, переподготовка и повышение квалификации</t>
  </si>
  <si>
    <t>0705</t>
  </si>
  <si>
    <t>0920740119</t>
  </si>
  <si>
    <t>0920700590</t>
  </si>
  <si>
    <t>0920762100</t>
  </si>
  <si>
    <t>2210300000</t>
  </si>
  <si>
    <t>2210320990</t>
  </si>
  <si>
    <t>Приобретение и ввод в эксплуатацию специальной пожарной и аварийно-спасательной техники</t>
  </si>
  <si>
    <t>0910163170</t>
  </si>
  <si>
    <t>09101S3170</t>
  </si>
  <si>
    <t>2500120990</t>
  </si>
  <si>
    <t>2500000000</t>
  </si>
  <si>
    <t>Муниципальная программа «Формирование современной городской среды на 2018-2022 годы» на территории городского округа «Город Южно-Сахалинск»</t>
  </si>
  <si>
    <t>2500100000</t>
  </si>
  <si>
    <t>25001S555F</t>
  </si>
  <si>
    <t>Софинансирование субсидии на софинансирование расходных обязательств на поддержку муниципальной программы «Формирование современной городской среды на 2018-2022 годы» на территории городского округа «Город Южно-Сахалинск»</t>
  </si>
  <si>
    <t>1200180160</t>
  </si>
  <si>
    <t>Субсидия юридическим лицам на проведение комплексного капитального ремонта многоквартирных домов</t>
  </si>
  <si>
    <t>1100780220</t>
  </si>
  <si>
    <t>Субсидия юридическим лицам (за исключением государственных (муниципальных)учреждений) и индивидуальным предпринимателям на возмещение недополученных (выпадающих) доходов, возникающих в результате незапланированного снижения полезного отпуска тепловой энергии, воды и услуг водоотведения</t>
  </si>
  <si>
    <t>1100780400</t>
  </si>
  <si>
    <t>Субсидия на возмещение затрат, возникающих, при осуществлении деятельности в сфере электроснабжения, теплоснабжения, водоснабжения и водоотведения</t>
  </si>
  <si>
    <t>01303R082Ф</t>
  </si>
  <si>
    <t>01303R082С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</si>
  <si>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</t>
  </si>
  <si>
    <t>Софинансирование мероприятий государственной программы Сахалинской области «Развитие внутреннего и въездного туризма в Сахалинской области на 2017-2022 годы»</t>
  </si>
  <si>
    <t>24001S3300</t>
  </si>
  <si>
    <t>1100520990</t>
  </si>
  <si>
    <t>0170220980</t>
  </si>
  <si>
    <t>Бюджетные инвестиции</t>
  </si>
  <si>
    <t>Муниципальная поддержка местных общественных организаций инвалидов и ветеранов</t>
  </si>
  <si>
    <t>1621800000</t>
  </si>
  <si>
    <t xml:space="preserve">Субсидия на функционирование и развитие деятельности местных общественных организаций инвалидов и ветеранов
</t>
  </si>
  <si>
    <t>1621880510</t>
  </si>
  <si>
    <t>1700420980</t>
  </si>
  <si>
    <t>1510100000</t>
  </si>
  <si>
    <t>Субсидия юридическим лицам (за исключением государственных (муниципальных) учреждений) на  финансовое обеспечение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</si>
  <si>
    <t>Обеспечение связью интеллектуальных комплексных систем видеонаблюдения, мониторинга и контроля</t>
  </si>
  <si>
    <t>Выполнение работ по проекту: "Концепция по цветовому решению и архитектурно-художественной подсветке фасадов зданий, расположенных  на территории городского округа "Город Южно-Сахалинска"</t>
  </si>
  <si>
    <t>Предоставление услуг в сфере организации и проведения в городском округе "Город Южно-Сахалинск" праздничных мероприятий, оказание услуг по созданию благоприятной среды проживания и жизнедеятельности населения</t>
  </si>
  <si>
    <t>Субсидия муниципальным образованиям Сахалинской области на обеспечение населения Сахалинской области качественным жильём</t>
  </si>
  <si>
    <t>Совершенствование организационно-управленческой деятельности, направленной на улучшение качества питания обучающихся</t>
  </si>
  <si>
    <t>1900600590</t>
  </si>
  <si>
    <t>от 07.02.2018  № 1057/55вн-18-5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</si>
</sst>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\+0.0"/>
    <numFmt numFmtId="166" formatCode="0.0"/>
    <numFmt numFmtId="167" formatCode="0000"/>
  </numFmts>
  <fonts count="66" x14ac:knownFonts="1">
    <font>
      <sz val="10"/>
      <color rgb="FF000000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9" tint="0.3999755851924192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b/>
      <sz val="14"/>
      <color rgb="FF390FB1"/>
      <name val="Times New Roman"/>
      <family val="1"/>
      <charset val="204"/>
    </font>
    <font>
      <b/>
      <sz val="10"/>
      <color rgb="FF3333FF"/>
      <name val="Times New Roman"/>
      <family val="1"/>
      <charset val="204"/>
    </font>
    <font>
      <b/>
      <sz val="12"/>
      <color rgb="FF390FB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0"/>
      <color rgb="FFFFFF0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2"/>
      <color theme="9" tint="0.3999755851924192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3333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B413F5"/>
      <name val="Times New Roman"/>
      <family val="1"/>
      <charset val="204"/>
    </font>
    <font>
      <b/>
      <sz val="12"/>
      <color rgb="FFD73BF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990099"/>
      <name val="Times New Roman"/>
      <family val="1"/>
      <charset val="204"/>
    </font>
    <font>
      <b/>
      <sz val="10"/>
      <color rgb="FF990099"/>
      <name val="Times New Roman"/>
      <family val="1"/>
      <charset val="204"/>
    </font>
    <font>
      <sz val="10"/>
      <color theme="6" tint="-0.249977111117893"/>
      <name val="Times New Roman"/>
      <family val="1"/>
      <charset val="204"/>
    </font>
    <font>
      <b/>
      <sz val="10"/>
      <color theme="6" tint="-0.249977111117893"/>
      <name val="Times New Roman"/>
      <family val="1"/>
      <charset val="204"/>
    </font>
    <font>
      <b/>
      <sz val="12"/>
      <color rgb="FFB413F5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FF"/>
      <name val="Times New Roman"/>
      <family val="1"/>
      <charset val="204"/>
    </font>
    <font>
      <b/>
      <sz val="11"/>
      <color rgb="FF990099"/>
      <name val="Times New Roman"/>
      <family val="1"/>
      <charset val="204"/>
    </font>
    <font>
      <sz val="10"/>
      <color rgb="FF990099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b/>
      <sz val="10"/>
      <color theme="9" tint="-0.499984740745262"/>
      <name val="Times New Roman"/>
      <family val="1"/>
      <charset val="204"/>
    </font>
    <font>
      <b/>
      <sz val="12"/>
      <color theme="9" tint="-0.499984740745262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FF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985DD9"/>
      <name val="Times New Roman"/>
      <family val="1"/>
      <charset val="204"/>
    </font>
    <font>
      <b/>
      <sz val="14"/>
      <color theme="9" tint="0.39997558519241921"/>
      <name val="Times New Roman"/>
      <family val="1"/>
      <charset val="204"/>
    </font>
    <font>
      <sz val="12"/>
      <color theme="9" tint="0.39997558519241921"/>
      <name val="Times New Roman"/>
      <family val="1"/>
      <charset val="204"/>
    </font>
    <font>
      <b/>
      <sz val="10"/>
      <color rgb="FFAD5CEA"/>
      <name val="Times New Roman"/>
      <family val="1"/>
      <charset val="204"/>
    </font>
    <font>
      <b/>
      <sz val="12"/>
      <color rgb="FFAD5CEA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10"/>
      <name val="Arial Cyr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9" tint="-0.49998474074526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0"/>
      <color rgb="FF390FB1"/>
      <name val="Times New Roman"/>
      <family val="1"/>
      <charset val="204"/>
    </font>
    <font>
      <sz val="12"/>
      <color rgb="FF390FB1"/>
      <name val="Times New Roman"/>
      <family val="1"/>
      <charset val="204"/>
    </font>
    <font>
      <b/>
      <sz val="16"/>
      <color rgb="FF390FB1"/>
      <name val="Times New Roman"/>
      <family val="1"/>
      <charset val="204"/>
    </font>
    <font>
      <b/>
      <sz val="12"/>
      <color rgb="FFFFCCFF"/>
      <name val="Times New Roman"/>
      <family val="1"/>
      <charset val="204"/>
    </font>
    <font>
      <sz val="10"/>
      <color rgb="FFFF00FF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390FB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top" wrapText="1"/>
    </xf>
    <xf numFmtId="0" fontId="52" fillId="0" borderId="0"/>
  </cellStyleXfs>
  <cellXfs count="303">
    <xf numFmtId="0" fontId="0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vertical="center" wrapText="1"/>
    </xf>
    <xf numFmtId="0" fontId="2" fillId="0" borderId="2" xfId="0" applyNumberFormat="1" applyFont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center" wrapText="1"/>
    </xf>
    <xf numFmtId="0" fontId="2" fillId="3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49" fontId="3" fillId="0" borderId="0" xfId="0" applyNumberFormat="1" applyFont="1" applyFill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49" fontId="2" fillId="0" borderId="2" xfId="0" quotePrefix="1" applyNumberFormat="1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5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center" wrapText="1"/>
    </xf>
    <xf numFmtId="0" fontId="6" fillId="0" borderId="0" xfId="0" applyFont="1" applyFill="1" applyAlignment="1">
      <alignment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2" xfId="0" applyNumberFormat="1" applyFont="1" applyFill="1" applyBorder="1" applyAlignment="1" applyProtection="1">
      <alignment horizontal="left" vertical="top" wrapText="1"/>
    </xf>
    <xf numFmtId="0" fontId="2" fillId="3" borderId="2" xfId="0" applyNumberFormat="1" applyFont="1" applyFill="1" applyBorder="1" applyAlignment="1" applyProtection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2" xfId="0" applyNumberFormat="1" applyFont="1" applyFill="1" applyBorder="1" applyAlignment="1" applyProtection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164" fontId="7" fillId="0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5" fillId="0" borderId="2" xfId="0" applyNumberFormat="1" applyFont="1" applyFill="1" applyBorder="1" applyAlignment="1">
      <alignment horizontal="center" vertical="top" wrapText="1"/>
    </xf>
    <xf numFmtId="49" fontId="12" fillId="0" borderId="0" xfId="0" applyNumberFormat="1" applyFont="1" applyFill="1" applyAlignment="1">
      <alignment vertical="top" wrapText="1"/>
    </xf>
    <xf numFmtId="0" fontId="14" fillId="0" borderId="0" xfId="0" applyFont="1" applyFill="1" applyAlignment="1">
      <alignment vertical="top" wrapText="1"/>
    </xf>
    <xf numFmtId="164" fontId="15" fillId="0" borderId="0" xfId="0" applyNumberFormat="1" applyFont="1" applyFill="1" applyAlignment="1">
      <alignment horizontal="left" vertical="top" wrapText="1"/>
    </xf>
    <xf numFmtId="49" fontId="18" fillId="0" borderId="0" xfId="0" applyNumberFormat="1" applyFont="1" applyFill="1" applyAlignment="1">
      <alignment vertical="top" wrapText="1"/>
    </xf>
    <xf numFmtId="49" fontId="18" fillId="6" borderId="0" xfId="0" applyNumberFormat="1" applyFont="1" applyFill="1" applyAlignment="1">
      <alignment horizontal="left" vertical="top" wrapText="1"/>
    </xf>
    <xf numFmtId="49" fontId="22" fillId="0" borderId="0" xfId="0" applyNumberFormat="1" applyFont="1" applyFill="1" applyAlignment="1">
      <alignment horizontal="center" vertical="top" wrapText="1"/>
    </xf>
    <xf numFmtId="49" fontId="21" fillId="0" borderId="0" xfId="0" applyNumberFormat="1" applyFont="1" applyFill="1" applyAlignment="1">
      <alignment horizontal="center" vertical="top" wrapText="1"/>
    </xf>
    <xf numFmtId="165" fontId="20" fillId="0" borderId="0" xfId="0" applyNumberFormat="1" applyFont="1" applyFill="1" applyAlignment="1">
      <alignment vertical="top" wrapText="1"/>
    </xf>
    <xf numFmtId="49" fontId="17" fillId="0" borderId="0" xfId="0" applyNumberFormat="1" applyFont="1" applyFill="1" applyAlignment="1">
      <alignment vertical="top" wrapText="1"/>
    </xf>
    <xf numFmtId="0" fontId="24" fillId="0" borderId="0" xfId="0" applyFont="1" applyFill="1" applyAlignment="1">
      <alignment vertical="top" wrapText="1"/>
    </xf>
    <xf numFmtId="49" fontId="18" fillId="0" borderId="0" xfId="0" applyNumberFormat="1" applyFont="1" applyFill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9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0" fontId="26" fillId="0" borderId="0" xfId="0" applyFont="1" applyFill="1" applyAlignment="1">
      <alignment horizontal="left" vertical="top" wrapText="1"/>
    </xf>
    <xf numFmtId="0" fontId="27" fillId="0" borderId="0" xfId="0" applyFont="1" applyFill="1" applyAlignment="1">
      <alignment vertical="top" wrapText="1"/>
    </xf>
    <xf numFmtId="0" fontId="4" fillId="0" borderId="3" xfId="0" applyFont="1" applyBorder="1">
      <alignment vertical="top" wrapText="1"/>
    </xf>
    <xf numFmtId="49" fontId="3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horizontal="left" vertical="top" wrapText="1"/>
    </xf>
    <xf numFmtId="0" fontId="28" fillId="0" borderId="0" xfId="0" applyFont="1" applyFill="1" applyAlignment="1">
      <alignment horizontal="left" vertical="top" wrapText="1"/>
    </xf>
    <xf numFmtId="49" fontId="23" fillId="0" borderId="0" xfId="0" applyNumberFormat="1" applyFont="1" applyFill="1" applyAlignment="1">
      <alignment vertical="top" wrapText="1"/>
    </xf>
    <xf numFmtId="0" fontId="30" fillId="0" borderId="0" xfId="0" applyFont="1" applyFill="1" applyAlignment="1">
      <alignment vertical="top" wrapText="1"/>
    </xf>
    <xf numFmtId="4" fontId="13" fillId="0" borderId="0" xfId="0" applyNumberFormat="1" applyFont="1" applyFill="1" applyAlignment="1">
      <alignment vertical="top" wrapText="1"/>
    </xf>
    <xf numFmtId="0" fontId="31" fillId="0" borderId="0" xfId="0" applyFont="1" applyFill="1" applyAlignment="1">
      <alignment vertical="top" wrapText="1"/>
    </xf>
    <xf numFmtId="4" fontId="32" fillId="0" borderId="0" xfId="0" applyNumberFormat="1" applyFont="1" applyFill="1" applyAlignment="1">
      <alignment vertical="top" wrapText="1"/>
    </xf>
    <xf numFmtId="49" fontId="19" fillId="0" borderId="0" xfId="0" applyNumberFormat="1" applyFont="1" applyFill="1" applyAlignment="1">
      <alignment vertical="top" wrapText="1"/>
    </xf>
    <xf numFmtId="167" fontId="5" fillId="0" borderId="2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center" wrapText="1"/>
    </xf>
    <xf numFmtId="49" fontId="13" fillId="0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49" fontId="35" fillId="3" borderId="0" xfId="0" applyNumberFormat="1" applyFont="1" applyFill="1" applyAlignment="1">
      <alignment vertical="top" wrapText="1"/>
    </xf>
    <xf numFmtId="0" fontId="36" fillId="0" borderId="0" xfId="0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49" fontId="35" fillId="6" borderId="0" xfId="0" applyNumberFormat="1" applyFont="1" applyFill="1" applyAlignment="1">
      <alignment horizontal="left" vertical="top" wrapText="1"/>
    </xf>
    <xf numFmtId="0" fontId="2" fillId="3" borderId="7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left" vertical="top" wrapText="1"/>
    </xf>
    <xf numFmtId="166" fontId="6" fillId="0" borderId="0" xfId="0" applyNumberFormat="1" applyFont="1" applyFill="1" applyAlignment="1">
      <alignment horizontal="left" vertical="top" wrapText="1"/>
    </xf>
    <xf numFmtId="0" fontId="5" fillId="0" borderId="2" xfId="0" applyFont="1" applyBorder="1">
      <alignment vertical="top" wrapText="1"/>
    </xf>
    <xf numFmtId="0" fontId="4" fillId="0" borderId="2" xfId="0" applyFont="1" applyFill="1" applyBorder="1">
      <alignment vertical="top" wrapText="1"/>
    </xf>
    <xf numFmtId="0" fontId="4" fillId="0" borderId="2" xfId="0" applyFont="1" applyFill="1" applyBorder="1" applyAlignment="1">
      <alignment vertical="top" wrapText="1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33" fillId="3" borderId="0" xfId="0" applyNumberFormat="1" applyFont="1" applyFill="1" applyAlignment="1">
      <alignment vertical="top" wrapText="1"/>
    </xf>
    <xf numFmtId="49" fontId="37" fillId="0" borderId="0" xfId="0" applyNumberFormat="1" applyFont="1" applyFill="1" applyAlignment="1">
      <alignment vertical="top" wrapText="1"/>
    </xf>
    <xf numFmtId="49" fontId="18" fillId="7" borderId="0" xfId="0" applyNumberFormat="1" applyFont="1" applyFill="1" applyAlignment="1">
      <alignment horizontal="right" vertical="top" wrapText="1"/>
    </xf>
    <xf numFmtId="49" fontId="5" fillId="0" borderId="2" xfId="0" applyNumberFormat="1" applyFont="1" applyFill="1" applyBorder="1" applyAlignment="1">
      <alignment horizontal="center" vertical="top"/>
    </xf>
    <xf numFmtId="49" fontId="33" fillId="3" borderId="0" xfId="0" applyNumberFormat="1" applyFont="1" applyFill="1" applyAlignment="1">
      <alignment horizontal="left" vertical="top" wrapText="1"/>
    </xf>
    <xf numFmtId="49" fontId="19" fillId="0" borderId="0" xfId="0" applyNumberFormat="1" applyFont="1" applyFill="1" applyAlignment="1">
      <alignment horizontal="left" vertical="top" wrapText="1"/>
    </xf>
    <xf numFmtId="49" fontId="25" fillId="3" borderId="0" xfId="0" applyNumberFormat="1" applyFont="1" applyFill="1" applyAlignment="1">
      <alignment horizontal="left" vertical="top" wrapText="1"/>
    </xf>
    <xf numFmtId="49" fontId="35" fillId="3" borderId="0" xfId="0" applyNumberFormat="1" applyFont="1" applyFill="1" applyAlignment="1">
      <alignment horizontal="left" vertical="top" wrapText="1"/>
    </xf>
    <xf numFmtId="49" fontId="35" fillId="0" borderId="0" xfId="0" applyNumberFormat="1" applyFont="1" applyFill="1" applyAlignment="1">
      <alignment horizontal="left" vertical="top" wrapText="1"/>
    </xf>
    <xf numFmtId="49" fontId="22" fillId="0" borderId="0" xfId="0" applyNumberFormat="1" applyFont="1" applyFill="1" applyAlignment="1">
      <alignment vertical="top" wrapText="1"/>
    </xf>
    <xf numFmtId="49" fontId="24" fillId="0" borderId="0" xfId="0" applyNumberFormat="1" applyFont="1" applyFill="1" applyAlignment="1">
      <alignment horizontal="left" vertical="top" wrapText="1"/>
    </xf>
    <xf numFmtId="49" fontId="25" fillId="0" borderId="0" xfId="0" applyNumberFormat="1" applyFont="1" applyFill="1" applyAlignment="1">
      <alignment horizontal="left" vertical="top" wrapText="1"/>
    </xf>
    <xf numFmtId="49" fontId="21" fillId="0" borderId="0" xfId="0" applyNumberFormat="1" applyFont="1" applyFill="1" applyAlignment="1">
      <alignment horizontal="left" vertical="top" wrapText="1"/>
    </xf>
    <xf numFmtId="49" fontId="33" fillId="0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vertical="top" wrapText="1"/>
    </xf>
    <xf numFmtId="49" fontId="29" fillId="0" borderId="0" xfId="0" applyNumberFormat="1" applyFont="1" applyFill="1" applyAlignment="1">
      <alignment vertical="top" wrapText="1"/>
    </xf>
    <xf numFmtId="49" fontId="35" fillId="0" borderId="0" xfId="0" applyNumberFormat="1" applyFont="1" applyFill="1" applyAlignment="1">
      <alignment vertical="top" wrapText="1"/>
    </xf>
    <xf numFmtId="49" fontId="25" fillId="0" borderId="0" xfId="0" applyNumberFormat="1" applyFont="1" applyFill="1" applyAlignment="1">
      <alignment vertical="top" wrapText="1"/>
    </xf>
    <xf numFmtId="49" fontId="1" fillId="3" borderId="0" xfId="0" applyNumberFormat="1" applyFont="1" applyFill="1" applyAlignment="1">
      <alignment vertical="top" wrapText="1"/>
    </xf>
    <xf numFmtId="49" fontId="21" fillId="3" borderId="0" xfId="0" applyNumberFormat="1" applyFont="1" applyFill="1" applyAlignment="1">
      <alignment horizontal="left" vertical="top" wrapText="1"/>
    </xf>
    <xf numFmtId="49" fontId="24" fillId="3" borderId="0" xfId="0" applyNumberFormat="1" applyFont="1" applyFill="1" applyAlignment="1">
      <alignment horizontal="left" vertical="top" wrapText="1"/>
    </xf>
    <xf numFmtId="49" fontId="1" fillId="0" borderId="0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49" fontId="26" fillId="0" borderId="0" xfId="0" applyNumberFormat="1" applyFont="1" applyFill="1" applyAlignment="1">
      <alignment vertical="top" wrapText="1"/>
    </xf>
    <xf numFmtId="166" fontId="25" fillId="0" borderId="0" xfId="0" applyNumberFormat="1" applyFont="1" applyFill="1" applyAlignment="1">
      <alignment horizontal="left" vertical="top" wrapText="1"/>
    </xf>
    <xf numFmtId="0" fontId="25" fillId="0" borderId="0" xfId="0" applyFont="1" applyFill="1" applyAlignment="1">
      <alignment vertical="top" wrapText="1"/>
    </xf>
    <xf numFmtId="165" fontId="25" fillId="0" borderId="0" xfId="0" applyNumberFormat="1" applyFont="1" applyFill="1" applyAlignment="1">
      <alignment vertical="top" wrapText="1"/>
    </xf>
    <xf numFmtId="49" fontId="15" fillId="3" borderId="0" xfId="0" applyNumberFormat="1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left" vertical="top" wrapText="1"/>
    </xf>
    <xf numFmtId="49" fontId="15" fillId="0" borderId="0" xfId="0" applyNumberFormat="1" applyFont="1" applyFill="1" applyAlignment="1">
      <alignment horizontal="left" vertical="top" wrapText="1"/>
    </xf>
    <xf numFmtId="49" fontId="40" fillId="0" borderId="0" xfId="0" applyNumberFormat="1" applyFont="1" applyFill="1" applyAlignment="1">
      <alignment horizontal="left" vertical="top" wrapText="1"/>
    </xf>
    <xf numFmtId="0" fontId="39" fillId="0" borderId="0" xfId="0" applyFont="1" applyFill="1" applyAlignment="1">
      <alignment vertical="top" wrapText="1"/>
    </xf>
    <xf numFmtId="49" fontId="40" fillId="0" borderId="0" xfId="0" applyNumberFormat="1" applyFont="1" applyFill="1" applyAlignment="1">
      <alignment vertical="top" wrapText="1"/>
    </xf>
    <xf numFmtId="164" fontId="40" fillId="0" borderId="0" xfId="0" applyNumberFormat="1" applyFont="1" applyFill="1" applyAlignment="1">
      <alignment horizontal="left" vertical="top" wrapText="1"/>
    </xf>
    <xf numFmtId="0" fontId="41" fillId="0" borderId="0" xfId="0" applyFont="1" applyFill="1" applyAlignment="1">
      <alignment horizontal="left" vertical="top" wrapText="1"/>
    </xf>
    <xf numFmtId="166" fontId="24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49" fontId="24" fillId="0" borderId="0" xfId="0" applyNumberFormat="1" applyFont="1" applyFill="1" applyAlignment="1">
      <alignment vertical="top" wrapText="1"/>
    </xf>
    <xf numFmtId="0" fontId="24" fillId="0" borderId="0" xfId="0" applyFont="1" applyFill="1" applyAlignment="1">
      <alignment horizontal="left" vertical="top" wrapText="1"/>
    </xf>
    <xf numFmtId="49" fontId="21" fillId="0" borderId="0" xfId="0" applyNumberFormat="1" applyFont="1" applyFill="1" applyAlignment="1">
      <alignment vertical="top" wrapText="1"/>
    </xf>
    <xf numFmtId="49" fontId="24" fillId="5" borderId="0" xfId="0" applyNumberFormat="1" applyFont="1" applyFill="1" applyAlignment="1">
      <alignment vertical="top" wrapText="1"/>
    </xf>
    <xf numFmtId="0" fontId="43" fillId="0" borderId="0" xfId="0" applyFont="1" applyFill="1" applyAlignment="1">
      <alignment horizontal="left" vertical="top" wrapText="1"/>
    </xf>
    <xf numFmtId="49" fontId="18" fillId="3" borderId="0" xfId="0" applyNumberFormat="1" applyFont="1" applyFill="1" applyAlignment="1">
      <alignment horizontal="left" vertical="top" wrapText="1"/>
    </xf>
    <xf numFmtId="0" fontId="25" fillId="0" borderId="0" xfId="0" applyFont="1" applyFill="1" applyAlignment="1">
      <alignment horizontal="left" vertical="top" wrapText="1"/>
    </xf>
    <xf numFmtId="0" fontId="45" fillId="0" borderId="0" xfId="0" applyFont="1" applyFill="1" applyAlignment="1">
      <alignment vertical="top" wrapText="1"/>
    </xf>
    <xf numFmtId="4" fontId="1" fillId="0" borderId="0" xfId="0" applyNumberFormat="1" applyFont="1" applyFill="1" applyAlignment="1">
      <alignment horizontal="left" vertical="top" wrapText="1"/>
    </xf>
    <xf numFmtId="164" fontId="24" fillId="0" borderId="0" xfId="0" applyNumberFormat="1" applyFont="1" applyFill="1" applyAlignment="1">
      <alignment horizontal="left" vertical="top" wrapText="1"/>
    </xf>
    <xf numFmtId="49" fontId="46" fillId="0" borderId="0" xfId="0" applyNumberFormat="1" applyFont="1" applyFill="1" applyAlignment="1">
      <alignment horizontal="left" vertical="top" wrapText="1"/>
    </xf>
    <xf numFmtId="49" fontId="46" fillId="0" borderId="0" xfId="0" applyNumberFormat="1" applyFont="1" applyFill="1" applyAlignment="1">
      <alignment vertical="top" wrapText="1"/>
    </xf>
    <xf numFmtId="164" fontId="19" fillId="0" borderId="0" xfId="0" applyNumberFormat="1" applyFont="1" applyFill="1" applyAlignment="1">
      <alignment horizontal="left" vertical="top" wrapText="1"/>
    </xf>
    <xf numFmtId="49" fontId="19" fillId="3" borderId="0" xfId="0" applyNumberFormat="1" applyFont="1" applyFill="1" applyAlignment="1">
      <alignment horizontal="left" vertical="top" wrapText="1"/>
    </xf>
    <xf numFmtId="166" fontId="47" fillId="0" borderId="0" xfId="0" applyNumberFormat="1" applyFont="1" applyFill="1" applyAlignment="1">
      <alignment horizontal="left" vertical="top" wrapText="1"/>
    </xf>
    <xf numFmtId="0" fontId="48" fillId="0" borderId="0" xfId="0" applyFont="1" applyFill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47" fillId="0" borderId="0" xfId="0" applyFont="1" applyFill="1" applyAlignment="1">
      <alignment vertical="top" wrapText="1"/>
    </xf>
    <xf numFmtId="164" fontId="18" fillId="0" borderId="0" xfId="0" applyNumberFormat="1" applyFont="1" applyFill="1" applyAlignment="1">
      <alignment horizontal="left" vertical="top" wrapText="1"/>
    </xf>
    <xf numFmtId="49" fontId="40" fillId="0" borderId="0" xfId="0" applyNumberFormat="1" applyFont="1" applyFill="1" applyAlignment="1">
      <alignment horizontal="center" vertical="top" wrapText="1"/>
    </xf>
    <xf numFmtId="164" fontId="44" fillId="0" borderId="0" xfId="0" applyNumberFormat="1" applyFont="1" applyFill="1" applyAlignment="1">
      <alignment horizontal="left" vertical="top" wrapText="1"/>
    </xf>
    <xf numFmtId="3" fontId="15" fillId="0" borderId="0" xfId="0" applyNumberFormat="1" applyFont="1" applyFill="1" applyAlignment="1">
      <alignment horizontal="left" vertical="top" wrapText="1"/>
    </xf>
    <xf numFmtId="166" fontId="49" fillId="0" borderId="0" xfId="0" applyNumberFormat="1" applyFont="1" applyFill="1" applyAlignment="1">
      <alignment horizontal="left" vertical="top" wrapText="1"/>
    </xf>
    <xf numFmtId="164" fontId="50" fillId="0" borderId="0" xfId="0" applyNumberFormat="1" applyFont="1" applyFill="1" applyAlignment="1">
      <alignment horizontal="left" vertical="top" wrapText="1"/>
    </xf>
    <xf numFmtId="49" fontId="21" fillId="7" borderId="0" xfId="0" applyNumberFormat="1" applyFont="1" applyFill="1" applyAlignment="1">
      <alignment horizontal="left" vertical="top" wrapText="1"/>
    </xf>
    <xf numFmtId="49" fontId="17" fillId="0" borderId="0" xfId="0" applyNumberFormat="1" applyFont="1" applyFill="1" applyAlignment="1">
      <alignment horizontal="center" vertical="top" wrapText="1"/>
    </xf>
    <xf numFmtId="0" fontId="4" fillId="4" borderId="7" xfId="0" applyFont="1" applyFill="1" applyBorder="1" applyAlignment="1">
      <alignment horizontal="justify" vertical="center" wrapText="1"/>
    </xf>
    <xf numFmtId="49" fontId="22" fillId="0" borderId="0" xfId="0" applyNumberFormat="1" applyFont="1" applyFill="1" applyAlignment="1">
      <alignment horizontal="left" vertical="top" wrapText="1"/>
    </xf>
    <xf numFmtId="0" fontId="39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Fill="1" applyAlignment="1">
      <alignment vertical="top"/>
    </xf>
    <xf numFmtId="49" fontId="51" fillId="3" borderId="0" xfId="0" applyNumberFormat="1" applyFont="1" applyFill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top" wrapText="1"/>
    </xf>
    <xf numFmtId="49" fontId="5" fillId="0" borderId="2" xfId="1" applyNumberFormat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42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8" fillId="6" borderId="0" xfId="0" applyNumberFormat="1" applyFont="1" applyFill="1" applyAlignment="1">
      <alignment horizontal="left" vertical="top" wrapText="1"/>
    </xf>
    <xf numFmtId="0" fontId="53" fillId="0" borderId="0" xfId="0" applyFont="1" applyFill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vertical="center" wrapText="1"/>
    </xf>
    <xf numFmtId="164" fontId="53" fillId="0" borderId="0" xfId="0" applyNumberFormat="1" applyFont="1" applyFill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top" wrapText="1"/>
    </xf>
    <xf numFmtId="164" fontId="2" fillId="3" borderId="2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center" vertical="top" wrapText="1"/>
    </xf>
    <xf numFmtId="0" fontId="54" fillId="0" borderId="2" xfId="0" applyFont="1" applyFill="1" applyBorder="1" applyAlignment="1">
      <alignment horizontal="left" vertical="top" wrapText="1"/>
    </xf>
    <xf numFmtId="0" fontId="55" fillId="0" borderId="2" xfId="0" applyFont="1" applyFill="1" applyBorder="1" applyAlignment="1">
      <alignment horizontal="left" vertical="top" wrapText="1"/>
    </xf>
    <xf numFmtId="0" fontId="54" fillId="3" borderId="2" xfId="0" applyFont="1" applyFill="1" applyBorder="1" applyAlignment="1">
      <alignment vertical="top" wrapText="1"/>
    </xf>
    <xf numFmtId="0" fontId="54" fillId="0" borderId="2" xfId="0" applyFont="1" applyBorder="1">
      <alignment vertical="top" wrapText="1"/>
    </xf>
    <xf numFmtId="0" fontId="54" fillId="3" borderId="2" xfId="0" applyFont="1" applyFill="1" applyBorder="1" applyAlignment="1">
      <alignment horizontal="left" vertical="top" wrapText="1"/>
    </xf>
    <xf numFmtId="0" fontId="54" fillId="4" borderId="2" xfId="0" applyFont="1" applyFill="1" applyBorder="1" applyAlignment="1">
      <alignment horizontal="justify" vertical="center" wrapText="1"/>
    </xf>
    <xf numFmtId="0" fontId="10" fillId="4" borderId="2" xfId="0" applyFont="1" applyFill="1" applyBorder="1" applyAlignment="1">
      <alignment vertical="top" wrapText="1"/>
    </xf>
    <xf numFmtId="0" fontId="54" fillId="0" borderId="2" xfId="0" applyFont="1" applyFill="1" applyBorder="1" applyAlignment="1">
      <alignment vertical="center" wrapText="1"/>
    </xf>
    <xf numFmtId="0" fontId="56" fillId="3" borderId="2" xfId="0" applyFont="1" applyFill="1" applyBorder="1" applyAlignment="1">
      <alignment horizontal="left" vertical="top" wrapText="1"/>
    </xf>
    <xf numFmtId="0" fontId="54" fillId="0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left" vertical="top" wrapText="1"/>
    </xf>
    <xf numFmtId="0" fontId="54" fillId="0" borderId="2" xfId="0" applyFont="1" applyBorder="1" applyAlignment="1">
      <alignment horizontal="left" vertical="top" wrapText="1"/>
    </xf>
    <xf numFmtId="0" fontId="54" fillId="0" borderId="2" xfId="0" applyFont="1" applyBorder="1" applyAlignment="1">
      <alignment horizontal="left" vertical="center" wrapText="1"/>
    </xf>
    <xf numFmtId="0" fontId="56" fillId="0" borderId="2" xfId="0" applyFont="1" applyFill="1" applyBorder="1" applyAlignment="1">
      <alignment horizontal="left" vertical="top" wrapText="1"/>
    </xf>
    <xf numFmtId="164" fontId="22" fillId="0" borderId="0" xfId="0" applyNumberFormat="1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center" vertical="top" wrapText="1"/>
    </xf>
    <xf numFmtId="0" fontId="57" fillId="0" borderId="0" xfId="0" applyFont="1" applyFill="1" applyAlignment="1">
      <alignment vertical="top" wrapText="1"/>
    </xf>
    <xf numFmtId="49" fontId="58" fillId="0" borderId="0" xfId="0" applyNumberFormat="1" applyFont="1" applyFill="1" applyAlignment="1">
      <alignment horizontal="left" vertical="top" wrapText="1"/>
    </xf>
    <xf numFmtId="3" fontId="2" fillId="0" borderId="0" xfId="0" applyNumberFormat="1" applyFont="1" applyFill="1" applyAlignment="1">
      <alignment horizontal="left" vertical="top" wrapText="1"/>
    </xf>
    <xf numFmtId="4" fontId="3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3" fontId="1" fillId="0" borderId="0" xfId="0" applyNumberFormat="1" applyFont="1" applyFill="1" applyAlignment="1">
      <alignment horizontal="left" vertical="top" wrapText="1"/>
    </xf>
    <xf numFmtId="4" fontId="45" fillId="0" borderId="0" xfId="0" applyNumberFormat="1" applyFont="1" applyFill="1" applyAlignment="1">
      <alignment vertical="top" wrapText="1"/>
    </xf>
    <xf numFmtId="4" fontId="59" fillId="0" borderId="0" xfId="0" applyNumberFormat="1" applyFont="1" applyFill="1" applyAlignment="1">
      <alignment vertical="top" wrapText="1"/>
    </xf>
    <xf numFmtId="3" fontId="5" fillId="3" borderId="2" xfId="0" applyNumberFormat="1" applyFont="1" applyFill="1" applyBorder="1" applyAlignment="1">
      <alignment horizontal="center" vertical="top" wrapText="1"/>
    </xf>
    <xf numFmtId="49" fontId="14" fillId="0" borderId="0" xfId="0" applyNumberFormat="1" applyFont="1" applyFill="1" applyAlignment="1">
      <alignment horizontal="left" vertical="top" wrapText="1"/>
    </xf>
    <xf numFmtId="49" fontId="60" fillId="0" borderId="0" xfId="0" applyNumberFormat="1" applyFont="1" applyFill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center" vertical="top" wrapText="1"/>
    </xf>
    <xf numFmtId="49" fontId="14" fillId="0" borderId="0" xfId="0" applyNumberFormat="1" applyFont="1" applyFill="1" applyBorder="1" applyAlignment="1">
      <alignment horizontal="left" vertical="top" wrapText="1"/>
    </xf>
    <xf numFmtId="49" fontId="14" fillId="7" borderId="0" xfId="0" applyNumberFormat="1" applyFont="1" applyFill="1" applyAlignment="1">
      <alignment horizontal="left" vertical="top" wrapText="1"/>
    </xf>
    <xf numFmtId="4" fontId="61" fillId="0" borderId="0" xfId="0" applyNumberFormat="1" applyFont="1" applyFill="1" applyAlignment="1">
      <alignment horizontal="left" vertical="top" wrapText="1"/>
    </xf>
    <xf numFmtId="4" fontId="61" fillId="0" borderId="0" xfId="0" applyNumberFormat="1" applyFont="1" applyFill="1" applyAlignment="1">
      <alignment vertical="top" wrapText="1"/>
    </xf>
    <xf numFmtId="49" fontId="29" fillId="0" borderId="0" xfId="0" applyNumberFormat="1" applyFont="1" applyFill="1" applyAlignment="1">
      <alignment horizontal="left" vertical="top" wrapText="1"/>
    </xf>
    <xf numFmtId="49" fontId="62" fillId="0" borderId="0" xfId="0" applyNumberFormat="1" applyFont="1" applyFill="1" applyAlignment="1">
      <alignment vertical="top" wrapText="1"/>
    </xf>
    <xf numFmtId="49" fontId="62" fillId="3" borderId="0" xfId="0" applyNumberFormat="1" applyFont="1" applyFill="1" applyAlignment="1">
      <alignment vertical="top" wrapText="1"/>
    </xf>
    <xf numFmtId="0" fontId="63" fillId="0" borderId="0" xfId="0" applyFont="1" applyFill="1" applyAlignment="1">
      <alignment vertical="top" wrapText="1"/>
    </xf>
    <xf numFmtId="0" fontId="59" fillId="0" borderId="0" xfId="0" applyFont="1" applyFill="1" applyAlignment="1">
      <alignment vertical="top" wrapText="1"/>
    </xf>
    <xf numFmtId="49" fontId="14" fillId="8" borderId="0" xfId="0" applyNumberFormat="1" applyFont="1" applyFill="1" applyAlignment="1">
      <alignment horizontal="left" vertical="top" wrapText="1"/>
    </xf>
    <xf numFmtId="49" fontId="14" fillId="0" borderId="0" xfId="0" applyNumberFormat="1" applyFont="1" applyFill="1" applyAlignment="1">
      <alignment horizontal="left" vertical="center" wrapText="1"/>
    </xf>
    <xf numFmtId="4" fontId="61" fillId="0" borderId="0" xfId="0" applyNumberFormat="1" applyFont="1" applyFill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5" fillId="3" borderId="2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vertical="center" wrapText="1"/>
    </xf>
    <xf numFmtId="49" fontId="25" fillId="0" borderId="0" xfId="0" applyNumberFormat="1" applyFont="1" applyFill="1" applyAlignment="1">
      <alignment horizontal="left" vertical="center" wrapText="1"/>
    </xf>
    <xf numFmtId="0" fontId="64" fillId="3" borderId="2" xfId="0" applyFont="1" applyFill="1" applyBorder="1" applyAlignment="1">
      <alignment vertical="center" wrapText="1"/>
    </xf>
    <xf numFmtId="0" fontId="65" fillId="3" borderId="2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center" vertical="top" wrapText="1"/>
    </xf>
    <xf numFmtId="164" fontId="53" fillId="3" borderId="0" xfId="0" applyNumberFormat="1" applyFont="1" applyFill="1" applyAlignment="1">
      <alignment horizontal="left" vertical="top" wrapText="1"/>
    </xf>
    <xf numFmtId="9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2" fillId="3" borderId="0" xfId="0" applyNumberFormat="1" applyFont="1" applyFill="1" applyAlignment="1">
      <alignment horizontal="left" vertical="top" wrapText="1"/>
    </xf>
    <xf numFmtId="49" fontId="1" fillId="3" borderId="0" xfId="0" applyNumberFormat="1" applyFont="1" applyFill="1" applyAlignment="1">
      <alignment horizontal="left" vertical="top" wrapText="1"/>
    </xf>
    <xf numFmtId="4" fontId="1" fillId="3" borderId="0" xfId="0" applyNumberFormat="1" applyFont="1" applyFill="1" applyAlignment="1">
      <alignment horizontal="left" vertical="top" wrapText="1"/>
    </xf>
    <xf numFmtId="0" fontId="2" fillId="3" borderId="2" xfId="0" applyNumberFormat="1" applyFont="1" applyFill="1" applyBorder="1" applyAlignment="1">
      <alignment horizontal="center" vertical="top" wrapText="1"/>
    </xf>
    <xf numFmtId="49" fontId="64" fillId="3" borderId="2" xfId="0" applyNumberFormat="1" applyFont="1" applyFill="1" applyBorder="1" applyAlignment="1">
      <alignment horizontal="center" vertical="top" wrapText="1"/>
    </xf>
    <xf numFmtId="49" fontId="22" fillId="3" borderId="0" xfId="0" applyNumberFormat="1" applyFont="1" applyFill="1" applyAlignment="1">
      <alignment horizontal="center" vertical="top" wrapText="1"/>
    </xf>
    <xf numFmtId="49" fontId="17" fillId="3" borderId="0" xfId="0" applyNumberFormat="1" applyFont="1" applyFill="1" applyAlignment="1">
      <alignment horizontal="left" vertical="top" wrapText="1"/>
    </xf>
    <xf numFmtId="4" fontId="1" fillId="3" borderId="0" xfId="0" applyNumberFormat="1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2" fillId="3" borderId="0" xfId="0" applyFont="1" applyFill="1" applyAlignment="1">
      <alignment vertical="top" wrapText="1"/>
    </xf>
    <xf numFmtId="49" fontId="1" fillId="3" borderId="0" xfId="0" applyNumberFormat="1" applyFont="1" applyFill="1" applyBorder="1" applyAlignment="1">
      <alignment vertical="top" wrapText="1"/>
    </xf>
    <xf numFmtId="164" fontId="2" fillId="3" borderId="0" xfId="0" applyNumberFormat="1" applyFont="1" applyFill="1" applyBorder="1" applyAlignment="1">
      <alignment horizontal="center" vertical="top" wrapText="1"/>
    </xf>
    <xf numFmtId="0" fontId="63" fillId="3" borderId="0" xfId="0" applyFont="1" applyFill="1" applyAlignment="1">
      <alignment vertical="top" wrapText="1"/>
    </xf>
    <xf numFmtId="0" fontId="39" fillId="3" borderId="0" xfId="0" applyFont="1" applyFill="1" applyAlignment="1">
      <alignment vertical="top" wrapText="1"/>
    </xf>
    <xf numFmtId="49" fontId="18" fillId="3" borderId="0" xfId="0" applyNumberFormat="1" applyFont="1" applyFill="1" applyAlignment="1">
      <alignment vertical="top" wrapText="1"/>
    </xf>
    <xf numFmtId="49" fontId="14" fillId="3" borderId="0" xfId="0" applyNumberFormat="1" applyFont="1" applyFill="1" applyAlignment="1">
      <alignment vertical="top" wrapText="1"/>
    </xf>
    <xf numFmtId="0" fontId="59" fillId="3" borderId="0" xfId="0" applyFont="1" applyFill="1" applyAlignment="1">
      <alignment vertical="top" wrapText="1"/>
    </xf>
    <xf numFmtId="0" fontId="19" fillId="3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2" fillId="3" borderId="0" xfId="0" applyFont="1" applyFill="1" applyBorder="1" applyAlignment="1">
      <alignment vertical="top" wrapText="1"/>
    </xf>
    <xf numFmtId="0" fontId="64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164" fontId="8" fillId="3" borderId="2" xfId="0" applyNumberFormat="1" applyFont="1" applyFill="1" applyBorder="1" applyAlignment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5" fillId="3" borderId="0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left" vertical="center" wrapText="1"/>
    </xf>
    <xf numFmtId="0" fontId="38" fillId="3" borderId="0" xfId="0" applyFont="1" applyFill="1" applyAlignment="1">
      <alignment vertical="top" wrapText="1"/>
    </xf>
    <xf numFmtId="0" fontId="34" fillId="3" borderId="0" xfId="0" applyFont="1" applyFill="1">
      <alignment vertical="top" wrapText="1"/>
    </xf>
    <xf numFmtId="165" fontId="25" fillId="0" borderId="0" xfId="0" applyNumberFormat="1" applyFont="1" applyFill="1" applyAlignment="1">
      <alignment horizontal="left" vertical="top" wrapText="1"/>
    </xf>
    <xf numFmtId="0" fontId="2" fillId="3" borderId="0" xfId="0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_Расходы бюджета" xfId="1"/>
  </cellStyles>
  <dxfs count="0"/>
  <tableStyles count="0" defaultTableStyle="TableStyleMedium9" defaultPivotStyle="PivotStyleLight16"/>
  <colors>
    <mruColors>
      <color rgb="FF990099"/>
      <color rgb="FFFF00FF"/>
      <color rgb="FF3333FF"/>
      <color rgb="FFFF66FF"/>
      <color rgb="FFFF99FF"/>
      <color rgb="FFF6E6E6"/>
      <color rgb="FFF6E7E6"/>
      <color rgb="FFF5E4E3"/>
      <color rgb="FFF8ED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371"/>
  <sheetViews>
    <sheetView tabSelected="1" view="pageBreakPreview" zoomScaleSheetLayoutView="110" workbookViewId="0">
      <selection activeCell="C4" sqref="C4:E4"/>
    </sheetView>
  </sheetViews>
  <sheetFormatPr defaultRowHeight="15.75" x14ac:dyDescent="0.2"/>
  <cols>
    <col min="1" max="1" width="81.83203125" style="26" customWidth="1"/>
    <col min="2" max="2" width="15.6640625" style="27" customWidth="1"/>
    <col min="3" max="3" width="19.5" style="26" customWidth="1"/>
    <col min="4" max="4" width="11.83203125" style="26" customWidth="1"/>
    <col min="5" max="5" width="19.1640625" style="45" customWidth="1"/>
    <col min="6" max="6" width="24" style="74" customWidth="1"/>
    <col min="7" max="7" width="13.83203125" style="13" customWidth="1"/>
    <col min="8" max="8" width="25.5" style="13" customWidth="1"/>
    <col min="9" max="9" width="13" style="13" customWidth="1"/>
    <col min="10" max="10" width="9.33203125" style="13"/>
    <col min="11" max="11" width="15.6640625" style="13" bestFit="1" customWidth="1"/>
    <col min="12" max="13" width="13.1640625" style="13" customWidth="1"/>
    <col min="14" max="14" width="15.6640625" style="13" bestFit="1" customWidth="1"/>
    <col min="15" max="16384" width="9.33203125" style="13"/>
  </cols>
  <sheetData>
    <row r="1" spans="1:6" s="86" customFormat="1" x14ac:dyDescent="0.2">
      <c r="A1" s="260"/>
      <c r="B1" s="261"/>
      <c r="C1" s="302" t="s">
        <v>1043</v>
      </c>
      <c r="D1" s="302"/>
      <c r="E1" s="302"/>
      <c r="F1" s="118"/>
    </row>
    <row r="2" spans="1:6" s="86" customFormat="1" x14ac:dyDescent="0.2">
      <c r="A2" s="260"/>
      <c r="B2" s="261"/>
      <c r="C2" s="302" t="s">
        <v>1044</v>
      </c>
      <c r="D2" s="302"/>
      <c r="E2" s="302"/>
      <c r="F2" s="118"/>
    </row>
    <row r="3" spans="1:6" s="86" customFormat="1" x14ac:dyDescent="0.2">
      <c r="A3" s="260"/>
      <c r="B3" s="261"/>
      <c r="C3" s="302" t="s">
        <v>1045</v>
      </c>
      <c r="D3" s="302"/>
      <c r="E3" s="302"/>
      <c r="F3" s="118"/>
    </row>
    <row r="4" spans="1:6" s="86" customFormat="1" x14ac:dyDescent="0.2">
      <c r="A4" s="260"/>
      <c r="B4" s="261"/>
      <c r="C4" s="302" t="s">
        <v>1090</v>
      </c>
      <c r="D4" s="302"/>
      <c r="E4" s="302"/>
      <c r="F4" s="118"/>
    </row>
    <row r="5" spans="1:6" s="86" customFormat="1" x14ac:dyDescent="0.2">
      <c r="A5" s="260"/>
      <c r="B5" s="261"/>
      <c r="C5" s="260"/>
      <c r="D5" s="260"/>
      <c r="E5" s="262"/>
      <c r="F5" s="118"/>
    </row>
    <row r="6" spans="1:6" s="86" customFormat="1" ht="75.2" customHeight="1" x14ac:dyDescent="0.2">
      <c r="A6" s="296"/>
      <c r="B6" s="296"/>
      <c r="C6" s="297" t="s">
        <v>1042</v>
      </c>
      <c r="D6" s="298"/>
      <c r="E6" s="298"/>
      <c r="F6" s="118"/>
    </row>
    <row r="7" spans="1:6" s="86" customFormat="1" ht="91.5" customHeight="1" x14ac:dyDescent="0.2">
      <c r="A7" s="299" t="s">
        <v>935</v>
      </c>
      <c r="B7" s="299"/>
      <c r="C7" s="300"/>
      <c r="D7" s="299"/>
      <c r="E7" s="301"/>
      <c r="F7" s="118"/>
    </row>
    <row r="8" spans="1:6" s="86" customFormat="1" ht="59.25" customHeight="1" x14ac:dyDescent="0.2">
      <c r="A8" s="263" t="s">
        <v>106</v>
      </c>
      <c r="B8" s="253" t="s">
        <v>107</v>
      </c>
      <c r="C8" s="264" t="s">
        <v>683</v>
      </c>
      <c r="D8" s="253" t="s">
        <v>108</v>
      </c>
      <c r="E8" s="204" t="s">
        <v>109</v>
      </c>
      <c r="F8" s="118"/>
    </row>
    <row r="9" spans="1:6" s="86" customFormat="1" x14ac:dyDescent="0.2">
      <c r="A9" s="206" t="s">
        <v>1</v>
      </c>
      <c r="B9" s="206">
        <v>2</v>
      </c>
      <c r="C9" s="207">
        <v>3</v>
      </c>
      <c r="D9" s="206">
        <v>4</v>
      </c>
      <c r="E9" s="237">
        <v>5</v>
      </c>
      <c r="F9" s="118"/>
    </row>
    <row r="10" spans="1:6" x14ac:dyDescent="0.2">
      <c r="A10" s="16" t="s">
        <v>2</v>
      </c>
      <c r="B10" s="224" t="s">
        <v>3</v>
      </c>
      <c r="C10" s="16" t="s">
        <v>0</v>
      </c>
      <c r="D10" s="224" t="s">
        <v>0</v>
      </c>
      <c r="E10" s="225">
        <f>E11+E16+E28+E63+E75+E79+E60</f>
        <v>2058544.2999999998</v>
      </c>
    </row>
    <row r="11" spans="1:6" ht="31.5" x14ac:dyDescent="0.2">
      <c r="A11" s="17" t="s">
        <v>4</v>
      </c>
      <c r="B11" s="18" t="s">
        <v>5</v>
      </c>
      <c r="C11" s="15"/>
      <c r="D11" s="18"/>
      <c r="E11" s="182">
        <f>E12</f>
        <v>4862</v>
      </c>
    </row>
    <row r="12" spans="1:6" ht="31.5" x14ac:dyDescent="0.2">
      <c r="A12" s="2" t="s">
        <v>110</v>
      </c>
      <c r="B12" s="8" t="s">
        <v>5</v>
      </c>
      <c r="C12" s="7" t="s">
        <v>344</v>
      </c>
      <c r="D12" s="8"/>
      <c r="E12" s="47">
        <f>E13</f>
        <v>4862</v>
      </c>
    </row>
    <row r="13" spans="1:6" x14ac:dyDescent="0.2">
      <c r="A13" s="2" t="s">
        <v>6</v>
      </c>
      <c r="B13" s="8" t="s">
        <v>5</v>
      </c>
      <c r="C13" s="7" t="s">
        <v>501</v>
      </c>
      <c r="D13" s="8" t="s">
        <v>0</v>
      </c>
      <c r="E13" s="47">
        <f>E14</f>
        <v>4862</v>
      </c>
    </row>
    <row r="14" spans="1:6" x14ac:dyDescent="0.2">
      <c r="A14" s="2" t="s">
        <v>749</v>
      </c>
      <c r="B14" s="8" t="s">
        <v>5</v>
      </c>
      <c r="C14" s="7" t="s">
        <v>502</v>
      </c>
      <c r="D14" s="8"/>
      <c r="E14" s="47">
        <f>E15</f>
        <v>4862</v>
      </c>
    </row>
    <row r="15" spans="1:6" ht="31.5" x14ac:dyDescent="0.2">
      <c r="A15" s="2" t="s">
        <v>710</v>
      </c>
      <c r="B15" s="8" t="s">
        <v>5</v>
      </c>
      <c r="C15" s="7" t="s">
        <v>502</v>
      </c>
      <c r="D15" s="8">
        <v>120</v>
      </c>
      <c r="E15" s="201">
        <f>5119-257</f>
        <v>4862</v>
      </c>
      <c r="F15" s="82"/>
    </row>
    <row r="16" spans="1:6" ht="47.25" x14ac:dyDescent="0.2">
      <c r="A16" s="17" t="s">
        <v>7</v>
      </c>
      <c r="B16" s="18" t="s">
        <v>8</v>
      </c>
      <c r="C16" s="15" t="s">
        <v>0</v>
      </c>
      <c r="D16" s="18" t="s">
        <v>0</v>
      </c>
      <c r="E16" s="182">
        <f>E17</f>
        <v>74813</v>
      </c>
    </row>
    <row r="17" spans="1:6" ht="31.5" x14ac:dyDescent="0.2">
      <c r="A17" s="2" t="s">
        <v>110</v>
      </c>
      <c r="B17" s="8" t="s">
        <v>8</v>
      </c>
      <c r="C17" s="7" t="s">
        <v>344</v>
      </c>
      <c r="D17" s="8"/>
      <c r="E17" s="47">
        <f>E18</f>
        <v>74813</v>
      </c>
    </row>
    <row r="18" spans="1:6" x14ac:dyDescent="0.2">
      <c r="A18" s="2" t="s">
        <v>500</v>
      </c>
      <c r="B18" s="8" t="s">
        <v>8</v>
      </c>
      <c r="C18" s="7" t="s">
        <v>485</v>
      </c>
      <c r="D18" s="8" t="s">
        <v>0</v>
      </c>
      <c r="E18" s="47">
        <f>E19+E22+E25</f>
        <v>74813</v>
      </c>
    </row>
    <row r="19" spans="1:6" ht="31.5" x14ac:dyDescent="0.2">
      <c r="A19" s="2" t="s">
        <v>10</v>
      </c>
      <c r="B19" s="8" t="s">
        <v>8</v>
      </c>
      <c r="C19" s="7" t="s">
        <v>486</v>
      </c>
      <c r="D19" s="8"/>
      <c r="E19" s="47">
        <f>E20</f>
        <v>4617.9000000000005</v>
      </c>
    </row>
    <row r="20" spans="1:6" x14ac:dyDescent="0.2">
      <c r="A20" s="2" t="s">
        <v>749</v>
      </c>
      <c r="B20" s="8" t="s">
        <v>8</v>
      </c>
      <c r="C20" s="7" t="s">
        <v>487</v>
      </c>
      <c r="D20" s="8"/>
      <c r="E20" s="47">
        <f>E21</f>
        <v>4617.9000000000005</v>
      </c>
    </row>
    <row r="21" spans="1:6" ht="31.5" x14ac:dyDescent="0.2">
      <c r="A21" s="2" t="s">
        <v>710</v>
      </c>
      <c r="B21" s="8" t="s">
        <v>8</v>
      </c>
      <c r="C21" s="7" t="s">
        <v>487</v>
      </c>
      <c r="D21" s="8">
        <v>120</v>
      </c>
      <c r="E21" s="194">
        <f>4785.8-167.9</f>
        <v>4617.9000000000005</v>
      </c>
      <c r="F21" s="82"/>
    </row>
    <row r="22" spans="1:6" x14ac:dyDescent="0.2">
      <c r="A22" s="2" t="s">
        <v>11</v>
      </c>
      <c r="B22" s="8" t="s">
        <v>8</v>
      </c>
      <c r="C22" s="7" t="s">
        <v>488</v>
      </c>
      <c r="D22" s="8"/>
      <c r="E22" s="47">
        <f>E23</f>
        <v>4127.5</v>
      </c>
    </row>
    <row r="23" spans="1:6" x14ac:dyDescent="0.2">
      <c r="A23" s="2" t="s">
        <v>749</v>
      </c>
      <c r="B23" s="8" t="s">
        <v>8</v>
      </c>
      <c r="C23" s="7" t="s">
        <v>489</v>
      </c>
      <c r="D23" s="8"/>
      <c r="E23" s="47">
        <f>E24</f>
        <v>4127.5</v>
      </c>
    </row>
    <row r="24" spans="1:6" ht="31.5" x14ac:dyDescent="0.2">
      <c r="A24" s="2" t="s">
        <v>710</v>
      </c>
      <c r="B24" s="8" t="s">
        <v>8</v>
      </c>
      <c r="C24" s="7" t="s">
        <v>489</v>
      </c>
      <c r="D24" s="8">
        <v>120</v>
      </c>
      <c r="E24" s="194">
        <f>4278.5-151</f>
        <v>4127.5</v>
      </c>
    </row>
    <row r="25" spans="1:6" x14ac:dyDescent="0.2">
      <c r="A25" s="2" t="s">
        <v>9</v>
      </c>
      <c r="B25" s="8" t="s">
        <v>8</v>
      </c>
      <c r="C25" s="7" t="s">
        <v>490</v>
      </c>
      <c r="D25" s="8" t="s">
        <v>0</v>
      </c>
      <c r="E25" s="47">
        <f>E26</f>
        <v>66067.600000000006</v>
      </c>
    </row>
    <row r="26" spans="1:6" x14ac:dyDescent="0.2">
      <c r="A26" s="2" t="s">
        <v>749</v>
      </c>
      <c r="B26" s="8" t="s">
        <v>8</v>
      </c>
      <c r="C26" s="7" t="s">
        <v>491</v>
      </c>
      <c r="D26" s="8"/>
      <c r="E26" s="47">
        <f>E27</f>
        <v>66067.600000000006</v>
      </c>
    </row>
    <row r="27" spans="1:6" ht="31.5" x14ac:dyDescent="0.2">
      <c r="A27" s="2" t="s">
        <v>710</v>
      </c>
      <c r="B27" s="8" t="s">
        <v>8</v>
      </c>
      <c r="C27" s="7" t="s">
        <v>491</v>
      </c>
      <c r="D27" s="8">
        <v>120</v>
      </c>
      <c r="E27" s="47">
        <f>63626.8+2440.8</f>
        <v>66067.600000000006</v>
      </c>
      <c r="F27" s="105"/>
    </row>
    <row r="28" spans="1:6" ht="47.25" x14ac:dyDescent="0.2">
      <c r="A28" s="17" t="s">
        <v>12</v>
      </c>
      <c r="B28" s="18" t="s">
        <v>13</v>
      </c>
      <c r="C28" s="15" t="s">
        <v>0</v>
      </c>
      <c r="D28" s="18" t="s">
        <v>0</v>
      </c>
      <c r="E28" s="182">
        <f>E29+E35+E40</f>
        <v>445836.4</v>
      </c>
    </row>
    <row r="29" spans="1:6" ht="47.25" x14ac:dyDescent="0.2">
      <c r="A29" s="2" t="s">
        <v>112</v>
      </c>
      <c r="B29" s="8" t="s">
        <v>13</v>
      </c>
      <c r="C29" s="7" t="s">
        <v>329</v>
      </c>
      <c r="D29" s="8" t="s">
        <v>0</v>
      </c>
      <c r="E29" s="47">
        <f>E30</f>
        <v>500</v>
      </c>
    </row>
    <row r="30" spans="1:6" x14ac:dyDescent="0.2">
      <c r="A30" s="2" t="s">
        <v>113</v>
      </c>
      <c r="B30" s="8" t="s">
        <v>13</v>
      </c>
      <c r="C30" s="7" t="s">
        <v>328</v>
      </c>
      <c r="D30" s="8" t="s">
        <v>0</v>
      </c>
      <c r="E30" s="47">
        <f>E31+E33</f>
        <v>500</v>
      </c>
    </row>
    <row r="31" spans="1:6" ht="31.5" x14ac:dyDescent="0.2">
      <c r="A31" s="2" t="s">
        <v>332</v>
      </c>
      <c r="B31" s="8" t="s">
        <v>13</v>
      </c>
      <c r="C31" s="7" t="s">
        <v>377</v>
      </c>
      <c r="D31" s="8"/>
      <c r="E31" s="47">
        <f>E32</f>
        <v>500</v>
      </c>
    </row>
    <row r="32" spans="1:6" ht="36" customHeight="1" x14ac:dyDescent="0.2">
      <c r="A32" s="2" t="s">
        <v>710</v>
      </c>
      <c r="B32" s="8" t="s">
        <v>13</v>
      </c>
      <c r="C32" s="7" t="s">
        <v>377</v>
      </c>
      <c r="D32" s="8">
        <v>120</v>
      </c>
      <c r="E32" s="47">
        <v>500</v>
      </c>
      <c r="F32" s="63"/>
    </row>
    <row r="33" spans="1:10" ht="31.5" x14ac:dyDescent="0.2">
      <c r="A33" s="1" t="s">
        <v>378</v>
      </c>
      <c r="B33" s="8" t="s">
        <v>13</v>
      </c>
      <c r="C33" s="7" t="s">
        <v>379</v>
      </c>
      <c r="D33" s="9"/>
      <c r="E33" s="47">
        <f>E34</f>
        <v>0</v>
      </c>
    </row>
    <row r="34" spans="1:10" ht="31.5" x14ac:dyDescent="0.2">
      <c r="A34" s="1" t="s">
        <v>706</v>
      </c>
      <c r="B34" s="8" t="s">
        <v>13</v>
      </c>
      <c r="C34" s="7" t="s">
        <v>379</v>
      </c>
      <c r="D34" s="9">
        <v>240</v>
      </c>
      <c r="E34" s="47">
        <f>200-200</f>
        <v>0</v>
      </c>
      <c r="F34" s="63"/>
    </row>
    <row r="35" spans="1:10" ht="63" customHeight="1" x14ac:dyDescent="0.2">
      <c r="A35" s="39" t="s">
        <v>118</v>
      </c>
      <c r="B35" s="206" t="s">
        <v>13</v>
      </c>
      <c r="C35" s="197" t="s">
        <v>431</v>
      </c>
      <c r="D35" s="196" t="s">
        <v>0</v>
      </c>
      <c r="E35" s="201">
        <f>E36</f>
        <v>77.7</v>
      </c>
      <c r="F35" s="228"/>
      <c r="H35" s="229"/>
    </row>
    <row r="36" spans="1:10" ht="31.5" customHeight="1" x14ac:dyDescent="0.2">
      <c r="A36" s="39" t="s">
        <v>121</v>
      </c>
      <c r="B36" s="206" t="s">
        <v>13</v>
      </c>
      <c r="C36" s="197" t="s">
        <v>435</v>
      </c>
      <c r="D36" s="196" t="s">
        <v>0</v>
      </c>
      <c r="E36" s="201">
        <f>E37</f>
        <v>77.7</v>
      </c>
      <c r="F36" s="228"/>
      <c r="H36" s="229"/>
    </row>
    <row r="37" spans="1:10" ht="34.5" customHeight="1" x14ac:dyDescent="0.2">
      <c r="A37" s="39" t="s">
        <v>123</v>
      </c>
      <c r="B37" s="206" t="s">
        <v>13</v>
      </c>
      <c r="C37" s="197" t="s">
        <v>690</v>
      </c>
      <c r="D37" s="196" t="s">
        <v>0</v>
      </c>
      <c r="E37" s="201">
        <f>E38</f>
        <v>77.7</v>
      </c>
      <c r="F37" s="228"/>
      <c r="H37" s="229"/>
    </row>
    <row r="38" spans="1:10" ht="27" customHeight="1" x14ac:dyDescent="0.2">
      <c r="A38" s="178" t="s">
        <v>332</v>
      </c>
      <c r="B38" s="206" t="s">
        <v>13</v>
      </c>
      <c r="C38" s="197" t="s">
        <v>949</v>
      </c>
      <c r="D38" s="196"/>
      <c r="E38" s="201">
        <f>E39</f>
        <v>77.7</v>
      </c>
      <c r="F38" s="228"/>
      <c r="H38" s="229"/>
    </row>
    <row r="39" spans="1:10" ht="31.5" customHeight="1" x14ac:dyDescent="0.2">
      <c r="A39" s="39" t="s">
        <v>710</v>
      </c>
      <c r="B39" s="206" t="s">
        <v>13</v>
      </c>
      <c r="C39" s="197" t="s">
        <v>949</v>
      </c>
      <c r="D39" s="196">
        <v>120</v>
      </c>
      <c r="E39" s="201">
        <f>77.7</f>
        <v>77.7</v>
      </c>
      <c r="F39" s="63"/>
      <c r="H39" s="229"/>
    </row>
    <row r="40" spans="1:10" ht="31.5" x14ac:dyDescent="0.2">
      <c r="A40" s="2" t="s">
        <v>110</v>
      </c>
      <c r="B40" s="8" t="s">
        <v>13</v>
      </c>
      <c r="C40" s="7" t="s">
        <v>344</v>
      </c>
      <c r="D40" s="8"/>
      <c r="E40" s="47">
        <f>E41</f>
        <v>445258.7</v>
      </c>
    </row>
    <row r="41" spans="1:10" ht="31.5" x14ac:dyDescent="0.2">
      <c r="A41" s="2" t="s">
        <v>495</v>
      </c>
      <c r="B41" s="8" t="s">
        <v>13</v>
      </c>
      <c r="C41" s="7" t="s">
        <v>492</v>
      </c>
      <c r="D41" s="8"/>
      <c r="E41" s="47">
        <f>E42</f>
        <v>445258.7</v>
      </c>
    </row>
    <row r="42" spans="1:10" x14ac:dyDescent="0.2">
      <c r="A42" s="2" t="s">
        <v>9</v>
      </c>
      <c r="B42" s="8" t="s">
        <v>13</v>
      </c>
      <c r="C42" s="7" t="s">
        <v>493</v>
      </c>
      <c r="D42" s="8"/>
      <c r="E42" s="47">
        <f>E43+E45</f>
        <v>445258.7</v>
      </c>
    </row>
    <row r="43" spans="1:10" x14ac:dyDescent="0.2">
      <c r="A43" s="2" t="s">
        <v>749</v>
      </c>
      <c r="B43" s="8" t="s">
        <v>13</v>
      </c>
      <c r="C43" s="7" t="s">
        <v>494</v>
      </c>
      <c r="D43" s="8"/>
      <c r="E43" s="47">
        <f>E44</f>
        <v>426143.7</v>
      </c>
    </row>
    <row r="44" spans="1:10" ht="31.5" x14ac:dyDescent="0.2">
      <c r="A44" s="2" t="s">
        <v>710</v>
      </c>
      <c r="B44" s="8" t="s">
        <v>13</v>
      </c>
      <c r="C44" s="7" t="s">
        <v>494</v>
      </c>
      <c r="D44" s="8">
        <v>120</v>
      </c>
      <c r="E44" s="47">
        <f>409208+13478.5+13026.8-9569.6</f>
        <v>426143.7</v>
      </c>
      <c r="F44" s="149"/>
      <c r="G44" s="151"/>
      <c r="H44" s="93"/>
      <c r="I44" s="93"/>
      <c r="J44" s="93"/>
    </row>
    <row r="45" spans="1:10" x14ac:dyDescent="0.2">
      <c r="A45" s="2" t="s">
        <v>111</v>
      </c>
      <c r="B45" s="8" t="s">
        <v>13</v>
      </c>
      <c r="C45" s="7">
        <v>5520460000</v>
      </c>
      <c r="D45" s="8" t="s">
        <v>0</v>
      </c>
      <c r="E45" s="47">
        <f>E46+E48+E54+E51+E57</f>
        <v>19115</v>
      </c>
    </row>
    <row r="46" spans="1:10" ht="55.5" customHeight="1" x14ac:dyDescent="0.2">
      <c r="A46" s="2" t="s">
        <v>346</v>
      </c>
      <c r="B46" s="8" t="s">
        <v>13</v>
      </c>
      <c r="C46" s="7" t="s">
        <v>345</v>
      </c>
      <c r="D46" s="8" t="s">
        <v>0</v>
      </c>
      <c r="E46" s="47">
        <f>E47</f>
        <v>1695.7</v>
      </c>
    </row>
    <row r="47" spans="1:10" ht="31.5" x14ac:dyDescent="0.2">
      <c r="A47" s="2" t="s">
        <v>710</v>
      </c>
      <c r="B47" s="8" t="s">
        <v>13</v>
      </c>
      <c r="C47" s="7" t="s">
        <v>345</v>
      </c>
      <c r="D47" s="8">
        <v>120</v>
      </c>
      <c r="E47" s="194">
        <v>1695.7</v>
      </c>
    </row>
    <row r="48" spans="1:10" ht="78.75" x14ac:dyDescent="0.2">
      <c r="A48" s="2" t="s">
        <v>352</v>
      </c>
      <c r="B48" s="8" t="s">
        <v>13</v>
      </c>
      <c r="C48" s="7">
        <v>5520462090</v>
      </c>
      <c r="D48" s="8" t="s">
        <v>0</v>
      </c>
      <c r="E48" s="47">
        <f>E49+E50</f>
        <v>5798</v>
      </c>
    </row>
    <row r="49" spans="1:6" ht="31.5" x14ac:dyDescent="0.2">
      <c r="A49" s="2" t="s">
        <v>710</v>
      </c>
      <c r="B49" s="8" t="s">
        <v>13</v>
      </c>
      <c r="C49" s="7">
        <v>5520462090</v>
      </c>
      <c r="D49" s="8">
        <v>120</v>
      </c>
      <c r="E49" s="47">
        <v>5133</v>
      </c>
    </row>
    <row r="50" spans="1:6" ht="31.5" x14ac:dyDescent="0.2">
      <c r="A50" s="1" t="s">
        <v>706</v>
      </c>
      <c r="B50" s="8" t="s">
        <v>13</v>
      </c>
      <c r="C50" s="7">
        <v>5520462090</v>
      </c>
      <c r="D50" s="8">
        <v>240</v>
      </c>
      <c r="E50" s="47">
        <v>665</v>
      </c>
    </row>
    <row r="51" spans="1:6" ht="63" x14ac:dyDescent="0.2">
      <c r="A51" s="2" t="s">
        <v>353</v>
      </c>
      <c r="B51" s="8" t="s">
        <v>13</v>
      </c>
      <c r="C51" s="7" t="s">
        <v>354</v>
      </c>
      <c r="D51" s="8" t="s">
        <v>0</v>
      </c>
      <c r="E51" s="47">
        <f>SUM(E52:E53)</f>
        <v>3223.6</v>
      </c>
    </row>
    <row r="52" spans="1:6" ht="31.5" x14ac:dyDescent="0.2">
      <c r="A52" s="2" t="s">
        <v>710</v>
      </c>
      <c r="B52" s="8" t="s">
        <v>13</v>
      </c>
      <c r="C52" s="7">
        <v>5520462210</v>
      </c>
      <c r="D52" s="8">
        <v>120</v>
      </c>
      <c r="E52" s="194">
        <v>2826.2</v>
      </c>
    </row>
    <row r="53" spans="1:6" ht="31.5" x14ac:dyDescent="0.2">
      <c r="A53" s="1" t="s">
        <v>706</v>
      </c>
      <c r="B53" s="8" t="s">
        <v>13</v>
      </c>
      <c r="C53" s="7">
        <v>5520462210</v>
      </c>
      <c r="D53" s="8">
        <v>240</v>
      </c>
      <c r="E53" s="194">
        <v>397.4</v>
      </c>
    </row>
    <row r="54" spans="1:6" ht="31.5" x14ac:dyDescent="0.2">
      <c r="A54" s="2" t="s">
        <v>674</v>
      </c>
      <c r="B54" s="8" t="s">
        <v>13</v>
      </c>
      <c r="C54" s="7" t="s">
        <v>355</v>
      </c>
      <c r="D54" s="8" t="s">
        <v>0</v>
      </c>
      <c r="E54" s="47">
        <f>E55+E56</f>
        <v>8197</v>
      </c>
    </row>
    <row r="55" spans="1:6" ht="34.5" customHeight="1" x14ac:dyDescent="0.2">
      <c r="A55" s="2" t="s">
        <v>710</v>
      </c>
      <c r="B55" s="8" t="s">
        <v>13</v>
      </c>
      <c r="C55" s="7" t="s">
        <v>355</v>
      </c>
      <c r="D55" s="8">
        <v>120</v>
      </c>
      <c r="E55" s="47">
        <v>6730</v>
      </c>
      <c r="F55" s="157"/>
    </row>
    <row r="56" spans="1:6" ht="31.5" x14ac:dyDescent="0.2">
      <c r="A56" s="1" t="s">
        <v>706</v>
      </c>
      <c r="B56" s="8" t="s">
        <v>13</v>
      </c>
      <c r="C56" s="7" t="s">
        <v>355</v>
      </c>
      <c r="D56" s="8">
        <v>240</v>
      </c>
      <c r="E56" s="47">
        <v>1467</v>
      </c>
      <c r="F56" s="157"/>
    </row>
    <row r="57" spans="1:6" ht="63" x14ac:dyDescent="0.2">
      <c r="A57" s="37" t="s">
        <v>762</v>
      </c>
      <c r="B57" s="35" t="s">
        <v>13</v>
      </c>
      <c r="C57" s="36" t="s">
        <v>761</v>
      </c>
      <c r="D57" s="35"/>
      <c r="E57" s="47">
        <f>E58+E59</f>
        <v>200.7</v>
      </c>
    </row>
    <row r="58" spans="1:6" ht="31.5" x14ac:dyDescent="0.2">
      <c r="A58" s="2" t="s">
        <v>710</v>
      </c>
      <c r="B58" s="35" t="s">
        <v>13</v>
      </c>
      <c r="C58" s="36" t="s">
        <v>761</v>
      </c>
      <c r="D58" s="35">
        <v>120</v>
      </c>
      <c r="E58" s="194">
        <v>187.7</v>
      </c>
      <c r="F58" s="109"/>
    </row>
    <row r="59" spans="1:6" ht="31.5" x14ac:dyDescent="0.2">
      <c r="A59" s="1" t="s">
        <v>706</v>
      </c>
      <c r="B59" s="35" t="s">
        <v>13</v>
      </c>
      <c r="C59" s="36" t="s">
        <v>761</v>
      </c>
      <c r="D59" s="35">
        <v>240</v>
      </c>
      <c r="E59" s="194">
        <f>13</f>
        <v>13</v>
      </c>
      <c r="F59" s="109"/>
    </row>
    <row r="60" spans="1:6" x14ac:dyDescent="0.2">
      <c r="A60" s="195" t="s">
        <v>981</v>
      </c>
      <c r="B60" s="51" t="s">
        <v>983</v>
      </c>
      <c r="C60" s="36"/>
      <c r="D60" s="35"/>
      <c r="E60" s="182">
        <f>E61</f>
        <v>1508.5</v>
      </c>
      <c r="F60" s="109"/>
    </row>
    <row r="61" spans="1:6" ht="47.25" x14ac:dyDescent="0.2">
      <c r="A61" s="37" t="s">
        <v>982</v>
      </c>
      <c r="B61" s="35" t="s">
        <v>983</v>
      </c>
      <c r="C61" s="197" t="s">
        <v>984</v>
      </c>
      <c r="D61" s="196"/>
      <c r="E61" s="198">
        <f>E62</f>
        <v>1508.5</v>
      </c>
      <c r="F61" s="109"/>
    </row>
    <row r="62" spans="1:6" ht="31.5" x14ac:dyDescent="0.2">
      <c r="A62" s="37" t="s">
        <v>706</v>
      </c>
      <c r="B62" s="35" t="s">
        <v>983</v>
      </c>
      <c r="C62" s="197" t="s">
        <v>984</v>
      </c>
      <c r="D62" s="196">
        <v>240</v>
      </c>
      <c r="E62" s="198">
        <v>1508.5</v>
      </c>
      <c r="F62" s="109"/>
    </row>
    <row r="63" spans="1:6" ht="47.25" x14ac:dyDescent="0.2">
      <c r="A63" s="17" t="s">
        <v>14</v>
      </c>
      <c r="B63" s="18" t="s">
        <v>15</v>
      </c>
      <c r="C63" s="15" t="s">
        <v>0</v>
      </c>
      <c r="D63" s="18" t="s">
        <v>0</v>
      </c>
      <c r="E63" s="182">
        <f>E64+E70</f>
        <v>93149.5</v>
      </c>
    </row>
    <row r="64" spans="1:6" ht="47.25" x14ac:dyDescent="0.2">
      <c r="A64" s="2" t="s">
        <v>112</v>
      </c>
      <c r="B64" s="8" t="s">
        <v>15</v>
      </c>
      <c r="C64" s="7" t="s">
        <v>329</v>
      </c>
      <c r="D64" s="8" t="s">
        <v>0</v>
      </c>
      <c r="E64" s="47">
        <f>E65</f>
        <v>25</v>
      </c>
    </row>
    <row r="65" spans="1:14" x14ac:dyDescent="0.2">
      <c r="A65" s="2" t="s">
        <v>113</v>
      </c>
      <c r="B65" s="8" t="s">
        <v>15</v>
      </c>
      <c r="C65" s="7" t="s">
        <v>328</v>
      </c>
      <c r="D65" s="8" t="s">
        <v>0</v>
      </c>
      <c r="E65" s="47">
        <f>E66+E68</f>
        <v>25</v>
      </c>
    </row>
    <row r="66" spans="1:14" ht="31.5" x14ac:dyDescent="0.2">
      <c r="A66" s="11" t="s">
        <v>332</v>
      </c>
      <c r="B66" s="8" t="s">
        <v>15</v>
      </c>
      <c r="C66" s="7" t="s">
        <v>377</v>
      </c>
      <c r="D66" s="8"/>
      <c r="E66" s="47">
        <f>E67</f>
        <v>25</v>
      </c>
    </row>
    <row r="67" spans="1:14" ht="31.5" x14ac:dyDescent="0.2">
      <c r="A67" s="2" t="s">
        <v>710</v>
      </c>
      <c r="B67" s="8" t="s">
        <v>15</v>
      </c>
      <c r="C67" s="7" t="s">
        <v>377</v>
      </c>
      <c r="D67" s="8">
        <v>120</v>
      </c>
      <c r="E67" s="47">
        <v>25</v>
      </c>
      <c r="F67" s="155"/>
    </row>
    <row r="68" spans="1:14" ht="31.5" x14ac:dyDescent="0.2">
      <c r="A68" s="1" t="s">
        <v>378</v>
      </c>
      <c r="B68" s="8" t="s">
        <v>15</v>
      </c>
      <c r="C68" s="7" t="s">
        <v>379</v>
      </c>
      <c r="D68" s="9"/>
      <c r="E68" s="47">
        <f>E69</f>
        <v>0</v>
      </c>
      <c r="F68" s="145"/>
    </row>
    <row r="69" spans="1:14" ht="31.5" x14ac:dyDescent="0.2">
      <c r="A69" s="1" t="s">
        <v>706</v>
      </c>
      <c r="B69" s="8" t="s">
        <v>15</v>
      </c>
      <c r="C69" s="7" t="s">
        <v>379</v>
      </c>
      <c r="D69" s="9">
        <v>240</v>
      </c>
      <c r="E69" s="47">
        <f>25-25</f>
        <v>0</v>
      </c>
      <c r="F69" s="63"/>
    </row>
    <row r="70" spans="1:14" ht="31.5" x14ac:dyDescent="0.2">
      <c r="A70" s="2" t="s">
        <v>110</v>
      </c>
      <c r="B70" s="8" t="s">
        <v>15</v>
      </c>
      <c r="C70" s="7" t="s">
        <v>344</v>
      </c>
      <c r="D70" s="8"/>
      <c r="E70" s="47">
        <f>E71</f>
        <v>93124.5</v>
      </c>
    </row>
    <row r="71" spans="1:14" ht="31.5" x14ac:dyDescent="0.2">
      <c r="A71" s="2" t="s">
        <v>495</v>
      </c>
      <c r="B71" s="8" t="s">
        <v>15</v>
      </c>
      <c r="C71" s="7" t="s">
        <v>492</v>
      </c>
      <c r="D71" s="8"/>
      <c r="E71" s="47">
        <f>E72</f>
        <v>93124.5</v>
      </c>
    </row>
    <row r="72" spans="1:14" x14ac:dyDescent="0.2">
      <c r="A72" s="2" t="s">
        <v>9</v>
      </c>
      <c r="B72" s="8" t="s">
        <v>15</v>
      </c>
      <c r="C72" s="7" t="s">
        <v>493</v>
      </c>
      <c r="D72" s="8"/>
      <c r="E72" s="47">
        <f>E73</f>
        <v>93124.5</v>
      </c>
    </row>
    <row r="73" spans="1:14" x14ac:dyDescent="0.2">
      <c r="A73" s="2" t="s">
        <v>749</v>
      </c>
      <c r="B73" s="8" t="s">
        <v>15</v>
      </c>
      <c r="C73" s="7" t="s">
        <v>494</v>
      </c>
      <c r="D73" s="8"/>
      <c r="E73" s="47">
        <f>E74</f>
        <v>93124.5</v>
      </c>
    </row>
    <row r="74" spans="1:14" ht="31.5" x14ac:dyDescent="0.2">
      <c r="A74" s="2" t="s">
        <v>710</v>
      </c>
      <c r="B74" s="8" t="s">
        <v>15</v>
      </c>
      <c r="C74" s="7" t="s">
        <v>494</v>
      </c>
      <c r="D74" s="8">
        <v>120</v>
      </c>
      <c r="E74" s="47">
        <f>89998.8+3125.7</f>
        <v>93124.5</v>
      </c>
      <c r="F74" s="105"/>
    </row>
    <row r="75" spans="1:14" x14ac:dyDescent="0.2">
      <c r="A75" s="17" t="s">
        <v>16</v>
      </c>
      <c r="B75" s="18" t="s">
        <v>17</v>
      </c>
      <c r="C75" s="15" t="s">
        <v>0</v>
      </c>
      <c r="D75" s="18" t="s">
        <v>0</v>
      </c>
      <c r="E75" s="182">
        <f>E76</f>
        <v>584594.9</v>
      </c>
    </row>
    <row r="76" spans="1:14" x14ac:dyDescent="0.2">
      <c r="A76" s="1" t="s">
        <v>21</v>
      </c>
      <c r="B76" s="9" t="s">
        <v>17</v>
      </c>
      <c r="C76" s="7" t="s">
        <v>331</v>
      </c>
      <c r="D76" s="9"/>
      <c r="E76" s="47">
        <f>E77</f>
        <v>584594.9</v>
      </c>
    </row>
    <row r="77" spans="1:14" x14ac:dyDescent="0.2">
      <c r="A77" s="1" t="s">
        <v>389</v>
      </c>
      <c r="B77" s="9" t="s">
        <v>17</v>
      </c>
      <c r="C77" s="7" t="s">
        <v>390</v>
      </c>
      <c r="D77" s="9"/>
      <c r="E77" s="47">
        <f>E78</f>
        <v>584594.9</v>
      </c>
    </row>
    <row r="78" spans="1:14" ht="30" customHeight="1" x14ac:dyDescent="0.2">
      <c r="A78" s="1" t="s">
        <v>18</v>
      </c>
      <c r="B78" s="9" t="s">
        <v>17</v>
      </c>
      <c r="C78" s="7" t="s">
        <v>390</v>
      </c>
      <c r="D78" s="9">
        <v>870</v>
      </c>
      <c r="E78" s="47">
        <f>319663.7+266797.2-405.4-1460.6</f>
        <v>584594.9</v>
      </c>
      <c r="F78" s="156"/>
      <c r="G78" s="133"/>
      <c r="H78" s="165"/>
      <c r="I78" s="166"/>
      <c r="J78" s="131"/>
      <c r="K78" s="168"/>
      <c r="L78" s="80"/>
      <c r="M78" s="81"/>
      <c r="N78" s="79"/>
    </row>
    <row r="79" spans="1:14" x14ac:dyDescent="0.2">
      <c r="A79" s="17" t="s">
        <v>19</v>
      </c>
      <c r="B79" s="18" t="s">
        <v>20</v>
      </c>
      <c r="C79" s="15" t="s">
        <v>0</v>
      </c>
      <c r="D79" s="18" t="s">
        <v>0</v>
      </c>
      <c r="E79" s="182">
        <f>E80+E88+E92+E110+E117+E123+E146+E151+E106+E84</f>
        <v>853779.99999999988</v>
      </c>
    </row>
    <row r="80" spans="1:14" ht="47.25" x14ac:dyDescent="0.2">
      <c r="A80" s="2" t="s">
        <v>112</v>
      </c>
      <c r="B80" s="8" t="s">
        <v>20</v>
      </c>
      <c r="C80" s="7" t="s">
        <v>329</v>
      </c>
      <c r="D80" s="8" t="s">
        <v>0</v>
      </c>
      <c r="E80" s="47">
        <f>E81</f>
        <v>0</v>
      </c>
    </row>
    <row r="81" spans="1:6" x14ac:dyDescent="0.2">
      <c r="A81" s="2" t="s">
        <v>113</v>
      </c>
      <c r="B81" s="8" t="s">
        <v>20</v>
      </c>
      <c r="C81" s="7" t="s">
        <v>328</v>
      </c>
      <c r="D81" s="8" t="s">
        <v>0</v>
      </c>
      <c r="E81" s="47">
        <f>E82</f>
        <v>0</v>
      </c>
    </row>
    <row r="82" spans="1:6" ht="31.5" x14ac:dyDescent="0.2">
      <c r="A82" s="1" t="s">
        <v>378</v>
      </c>
      <c r="B82" s="9" t="s">
        <v>20</v>
      </c>
      <c r="C82" s="7" t="s">
        <v>379</v>
      </c>
      <c r="D82" s="9"/>
      <c r="E82" s="47">
        <f>E83</f>
        <v>0</v>
      </c>
    </row>
    <row r="83" spans="1:6" ht="31.5" x14ac:dyDescent="0.2">
      <c r="A83" s="1" t="s">
        <v>706</v>
      </c>
      <c r="B83" s="9" t="s">
        <v>20</v>
      </c>
      <c r="C83" s="7" t="s">
        <v>379</v>
      </c>
      <c r="D83" s="9">
        <v>240</v>
      </c>
      <c r="E83" s="47">
        <f>50-50</f>
        <v>0</v>
      </c>
      <c r="F83" s="56"/>
    </row>
    <row r="84" spans="1:6" ht="47.25" x14ac:dyDescent="0.2">
      <c r="A84" s="39" t="s">
        <v>114</v>
      </c>
      <c r="B84" s="35" t="s">
        <v>20</v>
      </c>
      <c r="C84" s="36" t="s">
        <v>393</v>
      </c>
      <c r="D84" s="35"/>
      <c r="E84" s="47">
        <f>E85</f>
        <v>651.5</v>
      </c>
      <c r="F84" s="13"/>
    </row>
    <row r="85" spans="1:6" ht="31.5" x14ac:dyDescent="0.2">
      <c r="A85" s="177" t="s">
        <v>946</v>
      </c>
      <c r="B85" s="35" t="s">
        <v>20</v>
      </c>
      <c r="C85" s="36" t="s">
        <v>947</v>
      </c>
      <c r="D85" s="35"/>
      <c r="E85" s="47">
        <f>E86</f>
        <v>651.5</v>
      </c>
      <c r="F85" s="13"/>
    </row>
    <row r="86" spans="1:6" ht="31.5" x14ac:dyDescent="0.2">
      <c r="A86" s="39" t="s">
        <v>307</v>
      </c>
      <c r="B86" s="35" t="s">
        <v>20</v>
      </c>
      <c r="C86" s="36" t="s">
        <v>948</v>
      </c>
      <c r="D86" s="35"/>
      <c r="E86" s="47">
        <f>E87</f>
        <v>651.5</v>
      </c>
      <c r="F86" s="13"/>
    </row>
    <row r="87" spans="1:6" ht="31.5" x14ac:dyDescent="0.2">
      <c r="A87" s="1" t="s">
        <v>706</v>
      </c>
      <c r="B87" s="35" t="s">
        <v>20</v>
      </c>
      <c r="C87" s="36" t="s">
        <v>948</v>
      </c>
      <c r="D87" s="35">
        <v>240</v>
      </c>
      <c r="E87" s="47">
        <v>651.5</v>
      </c>
      <c r="F87" s="13"/>
    </row>
    <row r="88" spans="1:6" ht="47.25" x14ac:dyDescent="0.2">
      <c r="A88" s="2" t="s">
        <v>115</v>
      </c>
      <c r="B88" s="8" t="s">
        <v>20</v>
      </c>
      <c r="C88" s="7" t="s">
        <v>394</v>
      </c>
      <c r="D88" s="8" t="s">
        <v>0</v>
      </c>
      <c r="E88" s="47">
        <f>E89</f>
        <v>600</v>
      </c>
    </row>
    <row r="89" spans="1:6" ht="63" x14ac:dyDescent="0.2">
      <c r="A89" s="2" t="s">
        <v>116</v>
      </c>
      <c r="B89" s="8" t="s">
        <v>20</v>
      </c>
      <c r="C89" s="7" t="s">
        <v>395</v>
      </c>
      <c r="D89" s="8" t="s">
        <v>0</v>
      </c>
      <c r="E89" s="47">
        <f>SUM(E90)</f>
        <v>600</v>
      </c>
    </row>
    <row r="90" spans="1:6" ht="31.5" x14ac:dyDescent="0.2">
      <c r="A90" s="39" t="s">
        <v>307</v>
      </c>
      <c r="B90" s="8" t="s">
        <v>20</v>
      </c>
      <c r="C90" s="7" t="s">
        <v>396</v>
      </c>
      <c r="D90" s="8"/>
      <c r="E90" s="47">
        <f>E91</f>
        <v>600</v>
      </c>
    </row>
    <row r="91" spans="1:6" ht="31.5" x14ac:dyDescent="0.2">
      <c r="A91" s="1" t="s">
        <v>706</v>
      </c>
      <c r="B91" s="8" t="s">
        <v>20</v>
      </c>
      <c r="C91" s="7" t="s">
        <v>396</v>
      </c>
      <c r="D91" s="8">
        <v>240</v>
      </c>
      <c r="E91" s="47">
        <v>600</v>
      </c>
      <c r="F91" s="63"/>
    </row>
    <row r="92" spans="1:6" ht="68.25" customHeight="1" x14ac:dyDescent="0.2">
      <c r="A92" s="2" t="s">
        <v>118</v>
      </c>
      <c r="B92" s="8" t="s">
        <v>20</v>
      </c>
      <c r="C92" s="7" t="s">
        <v>431</v>
      </c>
      <c r="D92" s="8" t="s">
        <v>0</v>
      </c>
      <c r="E92" s="47">
        <f>E93+E97</f>
        <v>420.3</v>
      </c>
    </row>
    <row r="93" spans="1:6" ht="47.25" x14ac:dyDescent="0.2">
      <c r="A93" s="2" t="s">
        <v>119</v>
      </c>
      <c r="B93" s="8" t="s">
        <v>20</v>
      </c>
      <c r="C93" s="7" t="s">
        <v>432</v>
      </c>
      <c r="D93" s="8" t="s">
        <v>0</v>
      </c>
      <c r="E93" s="47">
        <f>E94</f>
        <v>30</v>
      </c>
    </row>
    <row r="94" spans="1:6" ht="47.25" x14ac:dyDescent="0.2">
      <c r="A94" s="1" t="s">
        <v>120</v>
      </c>
      <c r="B94" s="8" t="s">
        <v>20</v>
      </c>
      <c r="C94" s="7" t="s">
        <v>433</v>
      </c>
      <c r="D94" s="8" t="s">
        <v>0</v>
      </c>
      <c r="E94" s="47">
        <f>E95</f>
        <v>30</v>
      </c>
    </row>
    <row r="95" spans="1:6" ht="31.5" x14ac:dyDescent="0.2">
      <c r="A95" s="39" t="s">
        <v>307</v>
      </c>
      <c r="B95" s="8" t="s">
        <v>20</v>
      </c>
      <c r="C95" s="7" t="s">
        <v>434</v>
      </c>
      <c r="D95" s="8"/>
      <c r="E95" s="47">
        <f>E96</f>
        <v>30</v>
      </c>
    </row>
    <row r="96" spans="1:6" ht="31.5" x14ac:dyDescent="0.2">
      <c r="A96" s="1" t="s">
        <v>706</v>
      </c>
      <c r="B96" s="8" t="s">
        <v>20</v>
      </c>
      <c r="C96" s="7" t="s">
        <v>434</v>
      </c>
      <c r="D96" s="8">
        <v>240</v>
      </c>
      <c r="E96" s="47">
        <f>30</f>
        <v>30</v>
      </c>
      <c r="F96" s="56"/>
    </row>
    <row r="97" spans="1:6" ht="31.5" x14ac:dyDescent="0.2">
      <c r="A97" s="2" t="s">
        <v>121</v>
      </c>
      <c r="B97" s="8" t="s">
        <v>20</v>
      </c>
      <c r="C97" s="7" t="s">
        <v>435</v>
      </c>
      <c r="D97" s="8" t="s">
        <v>0</v>
      </c>
      <c r="E97" s="47">
        <f>E98+E101</f>
        <v>390.3</v>
      </c>
    </row>
    <row r="98" spans="1:6" ht="36" customHeight="1" x14ac:dyDescent="0.2">
      <c r="A98" s="2" t="s">
        <v>122</v>
      </c>
      <c r="B98" s="8" t="s">
        <v>20</v>
      </c>
      <c r="C98" s="7" t="s">
        <v>436</v>
      </c>
      <c r="D98" s="8" t="s">
        <v>0</v>
      </c>
      <c r="E98" s="47">
        <f>E99</f>
        <v>390.3</v>
      </c>
    </row>
    <row r="99" spans="1:6" ht="31.5" x14ac:dyDescent="0.2">
      <c r="A99" s="39" t="s">
        <v>307</v>
      </c>
      <c r="B99" s="8" t="s">
        <v>20</v>
      </c>
      <c r="C99" s="7" t="s">
        <v>437</v>
      </c>
      <c r="D99" s="8"/>
      <c r="E99" s="47">
        <f>E100</f>
        <v>390.3</v>
      </c>
    </row>
    <row r="100" spans="1:6" ht="31.5" x14ac:dyDescent="0.2">
      <c r="A100" s="1" t="s">
        <v>706</v>
      </c>
      <c r="B100" s="8" t="s">
        <v>20</v>
      </c>
      <c r="C100" s="7" t="s">
        <v>437</v>
      </c>
      <c r="D100" s="8">
        <v>240</v>
      </c>
      <c r="E100" s="47">
        <v>390.3</v>
      </c>
    </row>
    <row r="101" spans="1:6" ht="47.25" x14ac:dyDescent="0.2">
      <c r="A101" s="2" t="s">
        <v>123</v>
      </c>
      <c r="B101" s="8" t="s">
        <v>20</v>
      </c>
      <c r="C101" s="7" t="s">
        <v>690</v>
      </c>
      <c r="D101" s="8" t="s">
        <v>0</v>
      </c>
      <c r="E101" s="47">
        <f>E104+E102</f>
        <v>0</v>
      </c>
    </row>
    <row r="102" spans="1:6" ht="31.5" x14ac:dyDescent="0.2">
      <c r="A102" s="178" t="s">
        <v>332</v>
      </c>
      <c r="B102" s="35" t="s">
        <v>20</v>
      </c>
      <c r="C102" s="36" t="s">
        <v>949</v>
      </c>
      <c r="D102" s="35"/>
      <c r="E102" s="47">
        <f>E103</f>
        <v>0</v>
      </c>
      <c r="F102" s="13"/>
    </row>
    <row r="103" spans="1:6" ht="31.5" x14ac:dyDescent="0.2">
      <c r="A103" s="2" t="s">
        <v>710</v>
      </c>
      <c r="B103" s="35" t="s">
        <v>20</v>
      </c>
      <c r="C103" s="36" t="s">
        <v>949</v>
      </c>
      <c r="D103" s="35">
        <v>120</v>
      </c>
      <c r="E103" s="47">
        <f>77.7-77.7</f>
        <v>0</v>
      </c>
      <c r="F103" s="56"/>
    </row>
    <row r="104" spans="1:6" ht="31.5" x14ac:dyDescent="0.2">
      <c r="A104" s="1" t="s">
        <v>378</v>
      </c>
      <c r="B104" s="8" t="s">
        <v>20</v>
      </c>
      <c r="C104" s="7" t="s">
        <v>691</v>
      </c>
      <c r="D104" s="8"/>
      <c r="E104" s="47">
        <f>E105</f>
        <v>0</v>
      </c>
    </row>
    <row r="105" spans="1:6" ht="31.5" x14ac:dyDescent="0.2">
      <c r="A105" s="1" t="s">
        <v>706</v>
      </c>
      <c r="B105" s="8" t="s">
        <v>20</v>
      </c>
      <c r="C105" s="7" t="s">
        <v>691</v>
      </c>
      <c r="D105" s="8">
        <v>240</v>
      </c>
      <c r="E105" s="47">
        <f>32-32</f>
        <v>0</v>
      </c>
      <c r="F105" s="56"/>
    </row>
    <row r="106" spans="1:6" ht="47.25" x14ac:dyDescent="0.2">
      <c r="A106" s="2" t="s">
        <v>165</v>
      </c>
      <c r="B106" s="8" t="s">
        <v>20</v>
      </c>
      <c r="C106" s="7" t="s">
        <v>269</v>
      </c>
      <c r="D106" s="8" t="s">
        <v>0</v>
      </c>
      <c r="E106" s="47">
        <f>E107</f>
        <v>630</v>
      </c>
    </row>
    <row r="107" spans="1:6" ht="31.5" x14ac:dyDescent="0.2">
      <c r="A107" s="2" t="s">
        <v>191</v>
      </c>
      <c r="B107" s="8" t="s">
        <v>20</v>
      </c>
      <c r="C107" s="7" t="s">
        <v>316</v>
      </c>
      <c r="D107" s="8" t="s">
        <v>0</v>
      </c>
      <c r="E107" s="47">
        <f>E108</f>
        <v>630</v>
      </c>
    </row>
    <row r="108" spans="1:6" ht="31.5" x14ac:dyDescent="0.2">
      <c r="A108" s="2" t="s">
        <v>444</v>
      </c>
      <c r="B108" s="8" t="s">
        <v>20</v>
      </c>
      <c r="C108" s="7" t="s">
        <v>921</v>
      </c>
      <c r="D108" s="8"/>
      <c r="E108" s="47">
        <f>E109</f>
        <v>630</v>
      </c>
    </row>
    <row r="109" spans="1:6" ht="31.5" x14ac:dyDescent="0.2">
      <c r="A109" s="1" t="s">
        <v>706</v>
      </c>
      <c r="B109" s="8" t="s">
        <v>20</v>
      </c>
      <c r="C109" s="7" t="s">
        <v>921</v>
      </c>
      <c r="D109" s="8">
        <v>240</v>
      </c>
      <c r="E109" s="47">
        <v>630</v>
      </c>
    </row>
    <row r="110" spans="1:6" ht="31.5" x14ac:dyDescent="0.2">
      <c r="A110" s="2" t="s">
        <v>124</v>
      </c>
      <c r="B110" s="8" t="s">
        <v>20</v>
      </c>
      <c r="C110" s="7" t="s">
        <v>310</v>
      </c>
      <c r="D110" s="8" t="s">
        <v>0</v>
      </c>
      <c r="E110" s="47">
        <f>E111</f>
        <v>1788.6</v>
      </c>
    </row>
    <row r="111" spans="1:6" ht="31.5" x14ac:dyDescent="0.2">
      <c r="A111" s="2" t="s">
        <v>125</v>
      </c>
      <c r="B111" s="8" t="s">
        <v>20</v>
      </c>
      <c r="C111" s="7" t="s">
        <v>445</v>
      </c>
      <c r="D111" s="8" t="s">
        <v>0</v>
      </c>
      <c r="E111" s="47">
        <f>E112</f>
        <v>1788.6</v>
      </c>
    </row>
    <row r="112" spans="1:6" ht="31.5" x14ac:dyDescent="0.2">
      <c r="A112" s="2" t="s">
        <v>126</v>
      </c>
      <c r="B112" s="8" t="s">
        <v>20</v>
      </c>
      <c r="C112" s="7" t="s">
        <v>446</v>
      </c>
      <c r="D112" s="8" t="s">
        <v>0</v>
      </c>
      <c r="E112" s="47">
        <f>E113+E115</f>
        <v>1788.6</v>
      </c>
    </row>
    <row r="113" spans="1:6" ht="31.5" x14ac:dyDescent="0.2">
      <c r="A113" s="39" t="s">
        <v>307</v>
      </c>
      <c r="B113" s="8" t="s">
        <v>20</v>
      </c>
      <c r="C113" s="7" t="s">
        <v>447</v>
      </c>
      <c r="D113" s="8"/>
      <c r="E113" s="47">
        <f>E114</f>
        <v>93.6</v>
      </c>
    </row>
    <row r="114" spans="1:6" ht="31.5" x14ac:dyDescent="0.2">
      <c r="A114" s="1" t="s">
        <v>706</v>
      </c>
      <c r="B114" s="8" t="s">
        <v>20</v>
      </c>
      <c r="C114" s="7" t="s">
        <v>447</v>
      </c>
      <c r="D114" s="8">
        <v>240</v>
      </c>
      <c r="E114" s="47">
        <v>93.6</v>
      </c>
    </row>
    <row r="115" spans="1:6" ht="31.5" x14ac:dyDescent="0.2">
      <c r="A115" s="2" t="s">
        <v>444</v>
      </c>
      <c r="B115" s="8" t="s">
        <v>20</v>
      </c>
      <c r="C115" s="7" t="s">
        <v>448</v>
      </c>
      <c r="D115" s="8"/>
      <c r="E115" s="47">
        <f>E116</f>
        <v>1695</v>
      </c>
    </row>
    <row r="116" spans="1:6" ht="31.5" x14ac:dyDescent="0.2">
      <c r="A116" s="1" t="s">
        <v>706</v>
      </c>
      <c r="B116" s="8" t="s">
        <v>20</v>
      </c>
      <c r="C116" s="7" t="s">
        <v>448</v>
      </c>
      <c r="D116" s="8">
        <v>240</v>
      </c>
      <c r="E116" s="47">
        <f>995+700</f>
        <v>1695</v>
      </c>
      <c r="F116" s="63"/>
    </row>
    <row r="117" spans="1:6" s="86" customFormat="1" ht="82.5" customHeight="1" x14ac:dyDescent="0.2">
      <c r="A117" s="11" t="s">
        <v>138</v>
      </c>
      <c r="B117" s="35" t="s">
        <v>20</v>
      </c>
      <c r="C117" s="7" t="s">
        <v>343</v>
      </c>
      <c r="D117" s="35"/>
      <c r="E117" s="47">
        <f>E118</f>
        <v>2603.1999999999998</v>
      </c>
      <c r="F117" s="106"/>
    </row>
    <row r="118" spans="1:6" s="86" customFormat="1" ht="71.25" customHeight="1" x14ac:dyDescent="0.2">
      <c r="A118" s="11" t="s">
        <v>140</v>
      </c>
      <c r="B118" s="35" t="s">
        <v>20</v>
      </c>
      <c r="C118" s="7" t="s">
        <v>367</v>
      </c>
      <c r="D118" s="35"/>
      <c r="E118" s="47">
        <f>E119</f>
        <v>2603.1999999999998</v>
      </c>
      <c r="F118" s="106"/>
    </row>
    <row r="119" spans="1:6" s="86" customFormat="1" ht="56.25" customHeight="1" x14ac:dyDescent="0.2">
      <c r="A119" s="11" t="s">
        <v>878</v>
      </c>
      <c r="B119" s="35" t="s">
        <v>20</v>
      </c>
      <c r="C119" s="7" t="s">
        <v>879</v>
      </c>
      <c r="D119" s="35"/>
      <c r="E119" s="47">
        <f>E120</f>
        <v>2603.1999999999998</v>
      </c>
      <c r="F119" s="106"/>
    </row>
    <row r="120" spans="1:6" s="86" customFormat="1" ht="36" customHeight="1" x14ac:dyDescent="0.2">
      <c r="A120" s="11" t="s">
        <v>348</v>
      </c>
      <c r="B120" s="35" t="s">
        <v>20</v>
      </c>
      <c r="C120" s="7" t="s">
        <v>880</v>
      </c>
      <c r="D120" s="35"/>
      <c r="E120" s="47">
        <f>E121+E122</f>
        <v>2603.1999999999998</v>
      </c>
      <c r="F120" s="106"/>
    </row>
    <row r="121" spans="1:6" s="86" customFormat="1" ht="35.25" customHeight="1" x14ac:dyDescent="0.2">
      <c r="A121" s="1" t="s">
        <v>706</v>
      </c>
      <c r="B121" s="35" t="s">
        <v>20</v>
      </c>
      <c r="C121" s="7" t="s">
        <v>880</v>
      </c>
      <c r="D121" s="35">
        <v>240</v>
      </c>
      <c r="E121" s="47">
        <v>2595.1999999999998</v>
      </c>
      <c r="F121" s="107"/>
    </row>
    <row r="122" spans="1:6" s="86" customFormat="1" x14ac:dyDescent="0.2">
      <c r="A122" s="11" t="s">
        <v>712</v>
      </c>
      <c r="B122" s="35" t="s">
        <v>20</v>
      </c>
      <c r="C122" s="7" t="s">
        <v>880</v>
      </c>
      <c r="D122" s="35">
        <v>850</v>
      </c>
      <c r="E122" s="47">
        <v>8</v>
      </c>
      <c r="F122" s="107"/>
    </row>
    <row r="123" spans="1:6" ht="47.25" x14ac:dyDescent="0.2">
      <c r="A123" s="2" t="s">
        <v>130</v>
      </c>
      <c r="B123" s="8" t="s">
        <v>20</v>
      </c>
      <c r="C123" s="7" t="s">
        <v>449</v>
      </c>
      <c r="D123" s="8" t="s">
        <v>0</v>
      </c>
      <c r="E123" s="47">
        <f>E124+E140</f>
        <v>47046.399999999994</v>
      </c>
    </row>
    <row r="124" spans="1:6" ht="47.25" x14ac:dyDescent="0.2">
      <c r="A124" s="11" t="s">
        <v>131</v>
      </c>
      <c r="B124" s="8" t="s">
        <v>20</v>
      </c>
      <c r="C124" s="7" t="s">
        <v>450</v>
      </c>
      <c r="D124" s="8" t="s">
        <v>0</v>
      </c>
      <c r="E124" s="47">
        <f>E125+E130+E133+E136</f>
        <v>28602.799999999999</v>
      </c>
    </row>
    <row r="125" spans="1:6" ht="31.5" x14ac:dyDescent="0.2">
      <c r="A125" s="2" t="s">
        <v>132</v>
      </c>
      <c r="B125" s="8" t="s">
        <v>20</v>
      </c>
      <c r="C125" s="7" t="s">
        <v>451</v>
      </c>
      <c r="D125" s="8" t="s">
        <v>0</v>
      </c>
      <c r="E125" s="47">
        <f>E126+E128</f>
        <v>6559.3</v>
      </c>
    </row>
    <row r="126" spans="1:6" ht="31.5" x14ac:dyDescent="0.2">
      <c r="A126" s="39" t="s">
        <v>307</v>
      </c>
      <c r="B126" s="8" t="s">
        <v>20</v>
      </c>
      <c r="C126" s="7" t="s">
        <v>452</v>
      </c>
      <c r="D126" s="8"/>
      <c r="E126" s="47">
        <f>E127</f>
        <v>1559.3</v>
      </c>
    </row>
    <row r="127" spans="1:6" ht="31.5" x14ac:dyDescent="0.2">
      <c r="A127" s="1" t="s">
        <v>706</v>
      </c>
      <c r="B127" s="8" t="s">
        <v>20</v>
      </c>
      <c r="C127" s="7" t="s">
        <v>452</v>
      </c>
      <c r="D127" s="8">
        <v>240</v>
      </c>
      <c r="E127" s="47">
        <f>348.3+1211</f>
        <v>1559.3</v>
      </c>
      <c r="F127" s="132"/>
    </row>
    <row r="128" spans="1:6" x14ac:dyDescent="0.2">
      <c r="A128" s="12" t="s">
        <v>886</v>
      </c>
      <c r="B128" s="8" t="s">
        <v>20</v>
      </c>
      <c r="C128" s="7" t="s">
        <v>453</v>
      </c>
      <c r="D128" s="8"/>
      <c r="E128" s="47">
        <f>E129</f>
        <v>5000</v>
      </c>
    </row>
    <row r="129" spans="1:8" x14ac:dyDescent="0.2">
      <c r="A129" s="12" t="s">
        <v>22</v>
      </c>
      <c r="B129" s="8" t="s">
        <v>20</v>
      </c>
      <c r="C129" s="7" t="s">
        <v>453</v>
      </c>
      <c r="D129" s="8">
        <v>350</v>
      </c>
      <c r="E129" s="47">
        <v>5000</v>
      </c>
      <c r="F129" s="130"/>
    </row>
    <row r="130" spans="1:8" x14ac:dyDescent="0.2">
      <c r="A130" s="2" t="s">
        <v>133</v>
      </c>
      <c r="B130" s="8" t="s">
        <v>20</v>
      </c>
      <c r="C130" s="7" t="s">
        <v>454</v>
      </c>
      <c r="D130" s="8" t="s">
        <v>0</v>
      </c>
      <c r="E130" s="47">
        <f>SUM(E132)</f>
        <v>14740</v>
      </c>
    </row>
    <row r="131" spans="1:8" ht="31.5" x14ac:dyDescent="0.2">
      <c r="A131" s="2" t="s">
        <v>444</v>
      </c>
      <c r="B131" s="8" t="s">
        <v>20</v>
      </c>
      <c r="C131" s="7" t="s">
        <v>455</v>
      </c>
      <c r="D131" s="8"/>
      <c r="E131" s="47">
        <f>E132</f>
        <v>14740</v>
      </c>
    </row>
    <row r="132" spans="1:8" ht="31.5" x14ac:dyDescent="0.2">
      <c r="A132" s="1" t="s">
        <v>706</v>
      </c>
      <c r="B132" s="8" t="s">
        <v>20</v>
      </c>
      <c r="C132" s="7" t="s">
        <v>455</v>
      </c>
      <c r="D132" s="8">
        <v>240</v>
      </c>
      <c r="E132" s="47">
        <v>14740</v>
      </c>
      <c r="F132" s="132"/>
      <c r="H132" s="131"/>
    </row>
    <row r="133" spans="1:8" ht="47.25" x14ac:dyDescent="0.2">
      <c r="A133" s="2" t="s">
        <v>134</v>
      </c>
      <c r="B133" s="8" t="s">
        <v>20</v>
      </c>
      <c r="C133" s="7" t="s">
        <v>456</v>
      </c>
      <c r="D133" s="8"/>
      <c r="E133" s="47">
        <f>SUM(E135)</f>
        <v>230</v>
      </c>
    </row>
    <row r="134" spans="1:8" ht="31.5" x14ac:dyDescent="0.2">
      <c r="A134" s="39" t="s">
        <v>307</v>
      </c>
      <c r="B134" s="8" t="s">
        <v>20</v>
      </c>
      <c r="C134" s="7" t="s">
        <v>457</v>
      </c>
      <c r="D134" s="8"/>
      <c r="E134" s="47">
        <f>E135</f>
        <v>230</v>
      </c>
    </row>
    <row r="135" spans="1:8" ht="31.5" x14ac:dyDescent="0.2">
      <c r="A135" s="1" t="s">
        <v>706</v>
      </c>
      <c r="B135" s="8" t="s">
        <v>20</v>
      </c>
      <c r="C135" s="7" t="s">
        <v>457</v>
      </c>
      <c r="D135" s="8">
        <v>240</v>
      </c>
      <c r="E135" s="47">
        <v>230</v>
      </c>
      <c r="F135" s="132"/>
      <c r="G135" s="131"/>
    </row>
    <row r="136" spans="1:8" ht="31.5" x14ac:dyDescent="0.2">
      <c r="A136" s="2" t="s">
        <v>135</v>
      </c>
      <c r="B136" s="8" t="s">
        <v>20</v>
      </c>
      <c r="C136" s="7" t="s">
        <v>458</v>
      </c>
      <c r="D136" s="8" t="s">
        <v>0</v>
      </c>
      <c r="E136" s="47">
        <f>E137</f>
        <v>7073.5</v>
      </c>
    </row>
    <row r="137" spans="1:8" ht="31.5" x14ac:dyDescent="0.2">
      <c r="A137" s="39" t="s">
        <v>307</v>
      </c>
      <c r="B137" s="8" t="s">
        <v>20</v>
      </c>
      <c r="C137" s="7" t="s">
        <v>459</v>
      </c>
      <c r="D137" s="30"/>
      <c r="E137" s="47">
        <f>E138+E139</f>
        <v>7073.5</v>
      </c>
    </row>
    <row r="138" spans="1:8" ht="31.5" x14ac:dyDescent="0.2">
      <c r="A138" s="1" t="s">
        <v>706</v>
      </c>
      <c r="B138" s="8" t="s">
        <v>20</v>
      </c>
      <c r="C138" s="7" t="s">
        <v>459</v>
      </c>
      <c r="D138" s="8">
        <v>240</v>
      </c>
      <c r="E138" s="47">
        <f>5030+818.5+800</f>
        <v>6648.5</v>
      </c>
      <c r="F138" s="169"/>
    </row>
    <row r="139" spans="1:8" x14ac:dyDescent="0.2">
      <c r="A139" s="2" t="s">
        <v>712</v>
      </c>
      <c r="B139" s="8" t="s">
        <v>20</v>
      </c>
      <c r="C139" s="7" t="s">
        <v>459</v>
      </c>
      <c r="D139" s="8">
        <v>850</v>
      </c>
      <c r="E139" s="47">
        <v>425</v>
      </c>
      <c r="F139" s="167"/>
    </row>
    <row r="140" spans="1:8" x14ac:dyDescent="0.2">
      <c r="A140" s="11" t="s">
        <v>582</v>
      </c>
      <c r="B140" s="8" t="s">
        <v>20</v>
      </c>
      <c r="C140" s="7" t="s">
        <v>584</v>
      </c>
      <c r="D140" s="8"/>
      <c r="E140" s="47">
        <f>E141</f>
        <v>18443.599999999999</v>
      </c>
    </row>
    <row r="141" spans="1:8" x14ac:dyDescent="0.2">
      <c r="A141" s="11" t="s">
        <v>583</v>
      </c>
      <c r="B141" s="8" t="s">
        <v>20</v>
      </c>
      <c r="C141" s="7" t="s">
        <v>585</v>
      </c>
      <c r="D141" s="8"/>
      <c r="E141" s="47">
        <f>E143+E145</f>
        <v>18443.599999999999</v>
      </c>
    </row>
    <row r="142" spans="1:8" ht="31.5" x14ac:dyDescent="0.2">
      <c r="A142" s="11" t="s">
        <v>378</v>
      </c>
      <c r="B142" s="8" t="s">
        <v>20</v>
      </c>
      <c r="C142" s="7" t="s">
        <v>586</v>
      </c>
      <c r="D142" s="8"/>
      <c r="E142" s="47">
        <f>E143</f>
        <v>200</v>
      </c>
    </row>
    <row r="143" spans="1:8" ht="31.5" x14ac:dyDescent="0.2">
      <c r="A143" s="1" t="s">
        <v>706</v>
      </c>
      <c r="B143" s="8" t="s">
        <v>20</v>
      </c>
      <c r="C143" s="7" t="s">
        <v>586</v>
      </c>
      <c r="D143" s="8">
        <v>240</v>
      </c>
      <c r="E143" s="47">
        <v>200</v>
      </c>
      <c r="F143" s="132"/>
    </row>
    <row r="144" spans="1:8" ht="31.5" x14ac:dyDescent="0.2">
      <c r="A144" s="39" t="s">
        <v>307</v>
      </c>
      <c r="B144" s="8" t="s">
        <v>20</v>
      </c>
      <c r="C144" s="7" t="s">
        <v>587</v>
      </c>
      <c r="D144" s="8"/>
      <c r="E144" s="47">
        <f>E145</f>
        <v>18243.599999999999</v>
      </c>
    </row>
    <row r="145" spans="1:8" ht="31.5" x14ac:dyDescent="0.2">
      <c r="A145" s="1" t="s">
        <v>706</v>
      </c>
      <c r="B145" s="8" t="s">
        <v>20</v>
      </c>
      <c r="C145" s="7" t="s">
        <v>587</v>
      </c>
      <c r="D145" s="8">
        <v>240</v>
      </c>
      <c r="E145" s="47">
        <v>18243.599999999999</v>
      </c>
    </row>
    <row r="146" spans="1:8" ht="31.5" x14ac:dyDescent="0.2">
      <c r="A146" s="2" t="s">
        <v>110</v>
      </c>
      <c r="B146" s="8" t="s">
        <v>20</v>
      </c>
      <c r="C146" s="7" t="s">
        <v>344</v>
      </c>
      <c r="D146" s="8"/>
      <c r="E146" s="47">
        <f>E147</f>
        <v>57680.5</v>
      </c>
    </row>
    <row r="147" spans="1:8" ht="31.5" x14ac:dyDescent="0.2">
      <c r="A147" s="2" t="s">
        <v>495</v>
      </c>
      <c r="B147" s="8" t="s">
        <v>20</v>
      </c>
      <c r="C147" s="7" t="s">
        <v>492</v>
      </c>
      <c r="D147" s="8"/>
      <c r="E147" s="47">
        <f>E148</f>
        <v>57680.5</v>
      </c>
    </row>
    <row r="148" spans="1:8" x14ac:dyDescent="0.2">
      <c r="A148" s="2" t="s">
        <v>9</v>
      </c>
      <c r="B148" s="8" t="s">
        <v>20</v>
      </c>
      <c r="C148" s="7" t="s">
        <v>493</v>
      </c>
      <c r="D148" s="8"/>
      <c r="E148" s="47">
        <f>E149</f>
        <v>57680.5</v>
      </c>
    </row>
    <row r="149" spans="1:8" x14ac:dyDescent="0.2">
      <c r="A149" s="2" t="s">
        <v>749</v>
      </c>
      <c r="B149" s="8" t="s">
        <v>20</v>
      </c>
      <c r="C149" s="7" t="s">
        <v>494</v>
      </c>
      <c r="D149" s="8"/>
      <c r="E149" s="47">
        <f>E150</f>
        <v>57680.5</v>
      </c>
    </row>
    <row r="150" spans="1:8" ht="31.5" x14ac:dyDescent="0.2">
      <c r="A150" s="2" t="s">
        <v>710</v>
      </c>
      <c r="B150" s="8" t="s">
        <v>20</v>
      </c>
      <c r="C150" s="7" t="s">
        <v>494</v>
      </c>
      <c r="D150" s="8">
        <v>120</v>
      </c>
      <c r="E150" s="47">
        <f>56475.5+1205</f>
        <v>57680.5</v>
      </c>
      <c r="F150" s="105"/>
      <c r="G150" s="38"/>
    </row>
    <row r="151" spans="1:8" x14ac:dyDescent="0.2">
      <c r="A151" s="2" t="s">
        <v>137</v>
      </c>
      <c r="B151" s="8" t="s">
        <v>20</v>
      </c>
      <c r="C151" s="7" t="s">
        <v>330</v>
      </c>
      <c r="D151" s="8" t="s">
        <v>0</v>
      </c>
      <c r="E151" s="47">
        <f>E152+E193</f>
        <v>742359.49999999988</v>
      </c>
    </row>
    <row r="152" spans="1:8" x14ac:dyDescent="0.2">
      <c r="A152" s="2" t="s">
        <v>27</v>
      </c>
      <c r="B152" s="8" t="s">
        <v>20</v>
      </c>
      <c r="C152" s="7" t="s">
        <v>427</v>
      </c>
      <c r="D152" s="8"/>
      <c r="E152" s="47">
        <f>E153+E161+E165+E170+E177+E182+E189</f>
        <v>644269.99999999988</v>
      </c>
    </row>
    <row r="153" spans="1:8" x14ac:dyDescent="0.2">
      <c r="A153" s="2" t="s">
        <v>527</v>
      </c>
      <c r="B153" s="8" t="s">
        <v>20</v>
      </c>
      <c r="C153" s="7" t="s">
        <v>525</v>
      </c>
      <c r="D153" s="8"/>
      <c r="E153" s="47">
        <f>E154+E159</f>
        <v>359653.19999999995</v>
      </c>
    </row>
    <row r="154" spans="1:8" ht="31.5" x14ac:dyDescent="0.2">
      <c r="A154" s="2" t="s">
        <v>302</v>
      </c>
      <c r="B154" s="8" t="s">
        <v>20</v>
      </c>
      <c r="C154" s="7" t="s">
        <v>526</v>
      </c>
      <c r="D154" s="8"/>
      <c r="E154" s="47">
        <f>SUM(E155:E158)</f>
        <v>359333.19999999995</v>
      </c>
    </row>
    <row r="155" spans="1:8" x14ac:dyDescent="0.2">
      <c r="A155" s="2" t="s">
        <v>711</v>
      </c>
      <c r="B155" s="8" t="s">
        <v>20</v>
      </c>
      <c r="C155" s="7" t="s">
        <v>526</v>
      </c>
      <c r="D155" s="8">
        <v>110</v>
      </c>
      <c r="E155" s="47">
        <f>228388.2+108266.4-42+3672.6+6098.5</f>
        <v>346383.69999999995</v>
      </c>
      <c r="F155" s="105"/>
      <c r="G155" s="131"/>
    </row>
    <row r="156" spans="1:8" ht="31.5" x14ac:dyDescent="0.2">
      <c r="A156" s="1" t="s">
        <v>706</v>
      </c>
      <c r="B156" s="8" t="s">
        <v>20</v>
      </c>
      <c r="C156" s="7" t="s">
        <v>526</v>
      </c>
      <c r="D156" s="8">
        <v>240</v>
      </c>
      <c r="E156" s="47">
        <f>4702.8+7059.6</f>
        <v>11762.400000000001</v>
      </c>
      <c r="F156" s="130"/>
      <c r="G156" s="159"/>
      <c r="H156" s="38"/>
    </row>
    <row r="157" spans="1:8" ht="31.5" x14ac:dyDescent="0.2">
      <c r="A157" s="1" t="s">
        <v>713</v>
      </c>
      <c r="B157" s="8" t="s">
        <v>20</v>
      </c>
      <c r="C157" s="7" t="s">
        <v>526</v>
      </c>
      <c r="D157" s="8">
        <v>320</v>
      </c>
      <c r="E157" s="47">
        <f>680.1</f>
        <v>680.1</v>
      </c>
      <c r="F157" s="130"/>
      <c r="G157" s="69"/>
      <c r="H157" s="38"/>
    </row>
    <row r="158" spans="1:8" x14ac:dyDescent="0.2">
      <c r="A158" s="2" t="s">
        <v>712</v>
      </c>
      <c r="B158" s="8" t="s">
        <v>20</v>
      </c>
      <c r="C158" s="7" t="s">
        <v>526</v>
      </c>
      <c r="D158" s="8">
        <v>850</v>
      </c>
      <c r="E158" s="47">
        <f>186.6+320.4</f>
        <v>507</v>
      </c>
      <c r="F158" s="115"/>
    </row>
    <row r="159" spans="1:8" ht="47.25" x14ac:dyDescent="0.2">
      <c r="A159" s="39" t="s">
        <v>871</v>
      </c>
      <c r="B159" s="8" t="s">
        <v>20</v>
      </c>
      <c r="C159" s="7" t="s">
        <v>872</v>
      </c>
      <c r="D159" s="8"/>
      <c r="E159" s="47">
        <f>E160</f>
        <v>320</v>
      </c>
      <c r="F159" s="115"/>
    </row>
    <row r="160" spans="1:8" x14ac:dyDescent="0.2">
      <c r="A160" s="39" t="s">
        <v>711</v>
      </c>
      <c r="B160" s="8" t="s">
        <v>20</v>
      </c>
      <c r="C160" s="7" t="s">
        <v>872</v>
      </c>
      <c r="D160" s="8">
        <v>110</v>
      </c>
      <c r="E160" s="47">
        <v>320</v>
      </c>
      <c r="F160" s="112"/>
    </row>
    <row r="161" spans="1:8" ht="47.25" x14ac:dyDescent="0.2">
      <c r="A161" s="25" t="s">
        <v>563</v>
      </c>
      <c r="B161" s="8" t="s">
        <v>20</v>
      </c>
      <c r="C161" s="7" t="s">
        <v>559</v>
      </c>
      <c r="D161" s="8"/>
      <c r="E161" s="47">
        <f>E162</f>
        <v>43642.9</v>
      </c>
    </row>
    <row r="162" spans="1:8" ht="31.5" x14ac:dyDescent="0.2">
      <c r="A162" s="2" t="s">
        <v>302</v>
      </c>
      <c r="B162" s="8" t="s">
        <v>20</v>
      </c>
      <c r="C162" s="7" t="s">
        <v>560</v>
      </c>
      <c r="D162" s="8"/>
      <c r="E162" s="47">
        <f>E163+E164</f>
        <v>43642.9</v>
      </c>
    </row>
    <row r="163" spans="1:8" x14ac:dyDescent="0.2">
      <c r="A163" s="2" t="s">
        <v>711</v>
      </c>
      <c r="B163" s="8" t="s">
        <v>20</v>
      </c>
      <c r="C163" s="7" t="s">
        <v>560</v>
      </c>
      <c r="D163" s="8">
        <v>110</v>
      </c>
      <c r="E163" s="47">
        <f>41355.8+777.2</f>
        <v>42133</v>
      </c>
      <c r="F163" s="130"/>
    </row>
    <row r="164" spans="1:8" ht="31.5" x14ac:dyDescent="0.2">
      <c r="A164" s="1" t="s">
        <v>706</v>
      </c>
      <c r="B164" s="8" t="s">
        <v>20</v>
      </c>
      <c r="C164" s="7" t="s">
        <v>560</v>
      </c>
      <c r="D164" s="8">
        <v>240</v>
      </c>
      <c r="E164" s="47">
        <v>1509.9</v>
      </c>
      <c r="F164" s="63"/>
    </row>
    <row r="165" spans="1:8" ht="47.25" x14ac:dyDescent="0.2">
      <c r="A165" s="2" t="s">
        <v>564</v>
      </c>
      <c r="B165" s="8" t="s">
        <v>20</v>
      </c>
      <c r="C165" s="7" t="s">
        <v>561</v>
      </c>
      <c r="D165" s="8"/>
      <c r="E165" s="47">
        <f>E166</f>
        <v>109226.3</v>
      </c>
    </row>
    <row r="166" spans="1:8" ht="31.5" x14ac:dyDescent="0.2">
      <c r="A166" s="2" t="s">
        <v>302</v>
      </c>
      <c r="B166" s="8" t="s">
        <v>20</v>
      </c>
      <c r="C166" s="7" t="s">
        <v>562</v>
      </c>
      <c r="D166" s="8"/>
      <c r="E166" s="47">
        <f>E167+E168+E169</f>
        <v>109226.3</v>
      </c>
    </row>
    <row r="167" spans="1:8" ht="20.25" x14ac:dyDescent="0.2">
      <c r="A167" s="2" t="s">
        <v>711</v>
      </c>
      <c r="B167" s="8" t="s">
        <v>20</v>
      </c>
      <c r="C167" s="7" t="s">
        <v>562</v>
      </c>
      <c r="D167" s="8">
        <v>110</v>
      </c>
      <c r="E167" s="47">
        <f>112068.5-9355+2111</f>
        <v>104824.5</v>
      </c>
      <c r="F167" s="250"/>
      <c r="G167" s="243"/>
      <c r="H167" s="53"/>
    </row>
    <row r="168" spans="1:8" ht="31.5" x14ac:dyDescent="0.2">
      <c r="A168" s="1" t="s">
        <v>706</v>
      </c>
      <c r="B168" s="8" t="s">
        <v>20</v>
      </c>
      <c r="C168" s="7" t="s">
        <v>562</v>
      </c>
      <c r="D168" s="8">
        <v>240</v>
      </c>
      <c r="E168" s="47">
        <v>4056.6</v>
      </c>
      <c r="F168" s="148"/>
    </row>
    <row r="169" spans="1:8" x14ac:dyDescent="0.2">
      <c r="A169" s="2" t="s">
        <v>712</v>
      </c>
      <c r="B169" s="8" t="s">
        <v>20</v>
      </c>
      <c r="C169" s="7" t="s">
        <v>562</v>
      </c>
      <c r="D169" s="8">
        <v>850</v>
      </c>
      <c r="E169" s="47">
        <v>345.2</v>
      </c>
      <c r="F169" s="147"/>
      <c r="G169" s="62"/>
    </row>
    <row r="170" spans="1:8" ht="47.25" x14ac:dyDescent="0.2">
      <c r="A170" s="2" t="s">
        <v>681</v>
      </c>
      <c r="B170" s="8" t="s">
        <v>20</v>
      </c>
      <c r="C170" s="7" t="s">
        <v>548</v>
      </c>
      <c r="D170" s="9"/>
      <c r="E170" s="47">
        <f>E171+E175</f>
        <v>0</v>
      </c>
    </row>
    <row r="171" spans="1:8" ht="31.5" x14ac:dyDescent="0.2">
      <c r="A171" s="2" t="s">
        <v>302</v>
      </c>
      <c r="B171" s="8" t="s">
        <v>20</v>
      </c>
      <c r="C171" s="7" t="s">
        <v>549</v>
      </c>
      <c r="D171" s="9"/>
      <c r="E171" s="47">
        <f>SUM(E172:E174)</f>
        <v>0</v>
      </c>
    </row>
    <row r="172" spans="1:8" ht="20.25" x14ac:dyDescent="0.2">
      <c r="A172" s="19" t="s">
        <v>711</v>
      </c>
      <c r="B172" s="8" t="s">
        <v>20</v>
      </c>
      <c r="C172" s="7" t="s">
        <v>549</v>
      </c>
      <c r="D172" s="8">
        <v>110</v>
      </c>
      <c r="E172" s="47">
        <v>0</v>
      </c>
      <c r="F172" s="242"/>
      <c r="G172" s="243"/>
    </row>
    <row r="173" spans="1:8" ht="31.5" x14ac:dyDescent="0.2">
      <c r="A173" s="1" t="s">
        <v>706</v>
      </c>
      <c r="B173" s="8" t="s">
        <v>20</v>
      </c>
      <c r="C173" s="7" t="s">
        <v>549</v>
      </c>
      <c r="D173" s="8">
        <v>240</v>
      </c>
      <c r="E173" s="47">
        <v>0</v>
      </c>
      <c r="F173" s="242"/>
      <c r="G173" s="244"/>
    </row>
    <row r="174" spans="1:8" ht="20.25" x14ac:dyDescent="0.2">
      <c r="A174" s="1" t="s">
        <v>712</v>
      </c>
      <c r="B174" s="8" t="s">
        <v>20</v>
      </c>
      <c r="C174" s="7" t="s">
        <v>549</v>
      </c>
      <c r="D174" s="8">
        <v>850</v>
      </c>
      <c r="E174" s="47">
        <v>0</v>
      </c>
      <c r="F174" s="242"/>
      <c r="G174" s="244"/>
    </row>
    <row r="175" spans="1:8" ht="47.25" x14ac:dyDescent="0.2">
      <c r="A175" s="39" t="s">
        <v>871</v>
      </c>
      <c r="B175" s="8" t="s">
        <v>20</v>
      </c>
      <c r="C175" s="7" t="s">
        <v>873</v>
      </c>
      <c r="D175" s="8"/>
      <c r="E175" s="47">
        <f>E176</f>
        <v>0</v>
      </c>
      <c r="G175" s="244"/>
    </row>
    <row r="176" spans="1:8" ht="20.25" x14ac:dyDescent="0.2">
      <c r="A176" s="84" t="s">
        <v>711</v>
      </c>
      <c r="B176" s="8" t="s">
        <v>20</v>
      </c>
      <c r="C176" s="7" t="s">
        <v>873</v>
      </c>
      <c r="D176" s="8">
        <v>110</v>
      </c>
      <c r="E176" s="47">
        <v>0</v>
      </c>
      <c r="F176" s="238"/>
      <c r="G176" s="244"/>
    </row>
    <row r="177" spans="1:7" ht="31.5" x14ac:dyDescent="0.2">
      <c r="A177" s="2" t="s">
        <v>687</v>
      </c>
      <c r="B177" s="8" t="s">
        <v>20</v>
      </c>
      <c r="C177" s="7" t="s">
        <v>685</v>
      </c>
      <c r="D177" s="8"/>
      <c r="E177" s="47">
        <f>E178</f>
        <v>42793.8</v>
      </c>
    </row>
    <row r="178" spans="1:7" ht="31.5" x14ac:dyDescent="0.2">
      <c r="A178" s="2" t="s">
        <v>302</v>
      </c>
      <c r="B178" s="8" t="s">
        <v>20</v>
      </c>
      <c r="C178" s="7" t="s">
        <v>686</v>
      </c>
      <c r="D178" s="8"/>
      <c r="E178" s="47">
        <f>SUM(E179:E181)</f>
        <v>42793.8</v>
      </c>
    </row>
    <row r="179" spans="1:7" x14ac:dyDescent="0.2">
      <c r="A179" s="25" t="s">
        <v>711</v>
      </c>
      <c r="B179" s="8" t="s">
        <v>20</v>
      </c>
      <c r="C179" s="7" t="s">
        <v>686</v>
      </c>
      <c r="D179" s="8">
        <v>110</v>
      </c>
      <c r="E179" s="47">
        <f>38069.9+723.9</f>
        <v>38793.800000000003</v>
      </c>
      <c r="F179" s="105"/>
    </row>
    <row r="180" spans="1:7" ht="31.5" x14ac:dyDescent="0.2">
      <c r="A180" s="1" t="s">
        <v>706</v>
      </c>
      <c r="B180" s="8" t="s">
        <v>20</v>
      </c>
      <c r="C180" s="7" t="s">
        <v>686</v>
      </c>
      <c r="D180" s="8">
        <v>240</v>
      </c>
      <c r="E180" s="47">
        <f>3890</f>
        <v>3890</v>
      </c>
      <c r="F180" s="105"/>
    </row>
    <row r="181" spans="1:7" ht="31.5" x14ac:dyDescent="0.2">
      <c r="A181" s="39" t="s">
        <v>713</v>
      </c>
      <c r="B181" s="8" t="s">
        <v>20</v>
      </c>
      <c r="C181" s="7" t="s">
        <v>686</v>
      </c>
      <c r="D181" s="8">
        <v>320</v>
      </c>
      <c r="E181" s="47">
        <v>110</v>
      </c>
      <c r="F181" s="105"/>
    </row>
    <row r="182" spans="1:7" ht="31.5" x14ac:dyDescent="0.2">
      <c r="A182" s="84" t="s">
        <v>908</v>
      </c>
      <c r="B182" s="35" t="s">
        <v>20</v>
      </c>
      <c r="C182" s="103" t="s">
        <v>909</v>
      </c>
      <c r="D182" s="35"/>
      <c r="E182" s="47">
        <f>E183+E187</f>
        <v>69471.599999999991</v>
      </c>
    </row>
    <row r="183" spans="1:7" ht="31.5" x14ac:dyDescent="0.2">
      <c r="A183" s="84" t="s">
        <v>302</v>
      </c>
      <c r="B183" s="35" t="s">
        <v>20</v>
      </c>
      <c r="C183" s="103" t="s">
        <v>910</v>
      </c>
      <c r="D183" s="35"/>
      <c r="E183" s="47">
        <f>E184+E185+E186</f>
        <v>69357.2</v>
      </c>
    </row>
    <row r="184" spans="1:7" x14ac:dyDescent="0.2">
      <c r="A184" s="84" t="s">
        <v>711</v>
      </c>
      <c r="B184" s="35" t="s">
        <v>20</v>
      </c>
      <c r="C184" s="103" t="s">
        <v>910</v>
      </c>
      <c r="D184" s="35">
        <v>110</v>
      </c>
      <c r="E184" s="201">
        <f>59077.4+446.1+1144</f>
        <v>60667.5</v>
      </c>
      <c r="F184" s="128"/>
    </row>
    <row r="185" spans="1:7" ht="31.5" x14ac:dyDescent="0.2">
      <c r="A185" s="1" t="s">
        <v>706</v>
      </c>
      <c r="B185" s="35" t="s">
        <v>20</v>
      </c>
      <c r="C185" s="103" t="s">
        <v>910</v>
      </c>
      <c r="D185" s="35">
        <v>240</v>
      </c>
      <c r="E185" s="201">
        <f>8820+165.8-446.1+135</f>
        <v>8674.6999999999989</v>
      </c>
      <c r="F185" s="161"/>
      <c r="G185" s="131"/>
    </row>
    <row r="186" spans="1:7" x14ac:dyDescent="0.2">
      <c r="A186" s="1" t="s">
        <v>712</v>
      </c>
      <c r="B186" s="35" t="s">
        <v>20</v>
      </c>
      <c r="C186" s="103" t="s">
        <v>910</v>
      </c>
      <c r="D186" s="35">
        <v>850</v>
      </c>
      <c r="E186" s="201">
        <f>150-135</f>
        <v>15</v>
      </c>
      <c r="F186" s="161"/>
      <c r="G186" s="131"/>
    </row>
    <row r="187" spans="1:7" ht="94.5" x14ac:dyDescent="0.2">
      <c r="A187" s="39" t="s">
        <v>347</v>
      </c>
      <c r="B187" s="35" t="s">
        <v>20</v>
      </c>
      <c r="C187" s="103" t="s">
        <v>919</v>
      </c>
      <c r="D187" s="35"/>
      <c r="E187" s="47">
        <f>E188</f>
        <v>114.4</v>
      </c>
      <c r="F187" s="113"/>
    </row>
    <row r="188" spans="1:7" x14ac:dyDescent="0.2">
      <c r="A188" s="84" t="s">
        <v>711</v>
      </c>
      <c r="B188" s="35" t="s">
        <v>20</v>
      </c>
      <c r="C188" s="103" t="s">
        <v>919</v>
      </c>
      <c r="D188" s="35">
        <v>110</v>
      </c>
      <c r="E188" s="47">
        <v>114.4</v>
      </c>
      <c r="F188" s="128"/>
    </row>
    <row r="189" spans="1:7" ht="47.25" x14ac:dyDescent="0.2">
      <c r="A189" s="39" t="s">
        <v>925</v>
      </c>
      <c r="B189" s="35" t="s">
        <v>20</v>
      </c>
      <c r="C189" s="103" t="s">
        <v>926</v>
      </c>
      <c r="D189" s="35"/>
      <c r="E189" s="201">
        <f>E190</f>
        <v>19482.2</v>
      </c>
      <c r="F189" s="128"/>
    </row>
    <row r="190" spans="1:7" ht="31.5" x14ac:dyDescent="0.2">
      <c r="A190" s="39" t="s">
        <v>302</v>
      </c>
      <c r="B190" s="35" t="s">
        <v>20</v>
      </c>
      <c r="C190" s="103" t="s">
        <v>927</v>
      </c>
      <c r="D190" s="35"/>
      <c r="E190" s="201">
        <f>E191+E192</f>
        <v>19482.2</v>
      </c>
      <c r="F190" s="128"/>
    </row>
    <row r="191" spans="1:7" ht="20.25" x14ac:dyDescent="0.2">
      <c r="A191" s="84" t="s">
        <v>711</v>
      </c>
      <c r="B191" s="35" t="s">
        <v>20</v>
      </c>
      <c r="C191" s="103" t="s">
        <v>927</v>
      </c>
      <c r="D191" s="35">
        <v>110</v>
      </c>
      <c r="E191" s="47">
        <f>9000+527.2+9600</f>
        <v>19127.2</v>
      </c>
      <c r="F191" s="251"/>
      <c r="G191" s="252"/>
    </row>
    <row r="192" spans="1:7" ht="31.5" x14ac:dyDescent="0.2">
      <c r="A192" s="84" t="s">
        <v>706</v>
      </c>
      <c r="B192" s="35" t="s">
        <v>20</v>
      </c>
      <c r="C192" s="103" t="s">
        <v>927</v>
      </c>
      <c r="D192" s="35">
        <v>240</v>
      </c>
      <c r="E192" s="47">
        <v>355</v>
      </c>
      <c r="F192" s="160"/>
    </row>
    <row r="193" spans="1:15" x14ac:dyDescent="0.2">
      <c r="A193" s="11" t="s">
        <v>21</v>
      </c>
      <c r="B193" s="8" t="s">
        <v>20</v>
      </c>
      <c r="C193" s="7" t="s">
        <v>331</v>
      </c>
      <c r="D193" s="8" t="s">
        <v>0</v>
      </c>
      <c r="E193" s="47">
        <f>E194+E197</f>
        <v>98089.5</v>
      </c>
    </row>
    <row r="194" spans="1:15" ht="24" customHeight="1" x14ac:dyDescent="0.2">
      <c r="A194" s="2" t="s">
        <v>332</v>
      </c>
      <c r="B194" s="8" t="s">
        <v>20</v>
      </c>
      <c r="C194" s="7" t="s">
        <v>333</v>
      </c>
      <c r="D194" s="8"/>
      <c r="E194" s="47">
        <f>SUM(E195:E196)</f>
        <v>82690.5</v>
      </c>
    </row>
    <row r="195" spans="1:15" ht="30" customHeight="1" x14ac:dyDescent="0.2">
      <c r="A195" s="1" t="s">
        <v>706</v>
      </c>
      <c r="B195" s="8" t="s">
        <v>20</v>
      </c>
      <c r="C195" s="7" t="s">
        <v>333</v>
      </c>
      <c r="D195" s="8">
        <v>240</v>
      </c>
      <c r="E195" s="47">
        <v>75343.399999999994</v>
      </c>
      <c r="F195" s="130"/>
      <c r="G195" s="150"/>
      <c r="H195" s="152"/>
      <c r="I195" s="153"/>
      <c r="J195" s="38"/>
      <c r="K195" s="131"/>
      <c r="L195" s="131"/>
      <c r="M195" s="131"/>
      <c r="N195" s="131"/>
      <c r="O195" s="131"/>
    </row>
    <row r="196" spans="1:15" ht="18.75" customHeight="1" x14ac:dyDescent="0.2">
      <c r="A196" s="2" t="s">
        <v>712</v>
      </c>
      <c r="B196" s="8" t="s">
        <v>20</v>
      </c>
      <c r="C196" s="7" t="s">
        <v>333</v>
      </c>
      <c r="D196" s="8">
        <v>850</v>
      </c>
      <c r="E196" s="47">
        <f>7357.1-10</f>
        <v>7347.1</v>
      </c>
      <c r="F196" s="105"/>
      <c r="G196" s="105"/>
      <c r="H196" s="105"/>
      <c r="I196" s="131"/>
    </row>
    <row r="197" spans="1:15" ht="31.5" x14ac:dyDescent="0.2">
      <c r="A197" s="2" t="s">
        <v>573</v>
      </c>
      <c r="B197" s="8" t="s">
        <v>20</v>
      </c>
      <c r="C197" s="7" t="s">
        <v>571</v>
      </c>
      <c r="D197" s="8" t="s">
        <v>0</v>
      </c>
      <c r="E197" s="47">
        <f>E198</f>
        <v>15399.000000000002</v>
      </c>
    </row>
    <row r="198" spans="1:15" x14ac:dyDescent="0.2">
      <c r="A198" s="2" t="s">
        <v>574</v>
      </c>
      <c r="B198" s="8" t="s">
        <v>20</v>
      </c>
      <c r="C198" s="7" t="s">
        <v>572</v>
      </c>
      <c r="D198" s="8"/>
      <c r="E198" s="47">
        <f>E199+E200+E201+E202</f>
        <v>15399.000000000002</v>
      </c>
    </row>
    <row r="199" spans="1:15" ht="31.5" x14ac:dyDescent="0.2">
      <c r="A199" s="1" t="s">
        <v>706</v>
      </c>
      <c r="B199" s="8" t="s">
        <v>20</v>
      </c>
      <c r="C199" s="7" t="s">
        <v>572</v>
      </c>
      <c r="D199" s="8">
        <v>240</v>
      </c>
      <c r="E199" s="47">
        <f>5445+30000-25265.6</f>
        <v>10179.400000000001</v>
      </c>
      <c r="F199" s="105"/>
      <c r="G199" s="131"/>
      <c r="H199" s="162"/>
      <c r="I199" s="38"/>
    </row>
    <row r="200" spans="1:15" x14ac:dyDescent="0.2">
      <c r="A200" s="1" t="s">
        <v>22</v>
      </c>
      <c r="B200" s="8" t="s">
        <v>20</v>
      </c>
      <c r="C200" s="7" t="s">
        <v>572</v>
      </c>
      <c r="D200" s="8">
        <v>350</v>
      </c>
      <c r="E200" s="47">
        <v>632.1</v>
      </c>
      <c r="F200" s="105"/>
    </row>
    <row r="201" spans="1:15" x14ac:dyDescent="0.2">
      <c r="A201" s="2" t="s">
        <v>715</v>
      </c>
      <c r="B201" s="8" t="s">
        <v>20</v>
      </c>
      <c r="C201" s="7" t="s">
        <v>572</v>
      </c>
      <c r="D201" s="8">
        <v>830</v>
      </c>
      <c r="E201" s="47">
        <v>3700</v>
      </c>
      <c r="F201" s="82"/>
      <c r="G201" s="67"/>
    </row>
    <row r="202" spans="1:15" x14ac:dyDescent="0.2">
      <c r="A202" s="2" t="s">
        <v>712</v>
      </c>
      <c r="B202" s="8" t="s">
        <v>20</v>
      </c>
      <c r="C202" s="7" t="s">
        <v>572</v>
      </c>
      <c r="D202" s="8">
        <v>850</v>
      </c>
      <c r="E202" s="47">
        <v>887.5</v>
      </c>
      <c r="F202" s="105"/>
    </row>
    <row r="203" spans="1:15" ht="31.5" x14ac:dyDescent="0.2">
      <c r="A203" s="16" t="s">
        <v>23</v>
      </c>
      <c r="B203" s="224" t="s">
        <v>24</v>
      </c>
      <c r="C203" s="224" t="s">
        <v>0</v>
      </c>
      <c r="D203" s="224" t="s">
        <v>0</v>
      </c>
      <c r="E203" s="225">
        <f>E204+E240</f>
        <v>149720.29999999999</v>
      </c>
    </row>
    <row r="204" spans="1:15" ht="31.5" x14ac:dyDescent="0.2">
      <c r="A204" s="17" t="s">
        <v>25</v>
      </c>
      <c r="B204" s="18" t="s">
        <v>26</v>
      </c>
      <c r="C204" s="15" t="s">
        <v>0</v>
      </c>
      <c r="D204" s="18" t="s">
        <v>0</v>
      </c>
      <c r="E204" s="182">
        <f>E205</f>
        <v>134283.5</v>
      </c>
    </row>
    <row r="205" spans="1:15" ht="87" customHeight="1" x14ac:dyDescent="0.2">
      <c r="A205" s="2" t="s">
        <v>138</v>
      </c>
      <c r="B205" s="8" t="s">
        <v>26</v>
      </c>
      <c r="C205" s="7" t="s">
        <v>343</v>
      </c>
      <c r="D205" s="8" t="s">
        <v>0</v>
      </c>
      <c r="E205" s="47">
        <f>E206+E216+E236</f>
        <v>134283.5</v>
      </c>
    </row>
    <row r="206" spans="1:15" ht="31.5" x14ac:dyDescent="0.2">
      <c r="A206" s="2" t="s">
        <v>358</v>
      </c>
      <c r="B206" s="8" t="s">
        <v>26</v>
      </c>
      <c r="C206" s="7" t="s">
        <v>359</v>
      </c>
      <c r="D206" s="8" t="s">
        <v>0</v>
      </c>
      <c r="E206" s="47">
        <f>E207+E210+E213</f>
        <v>6655</v>
      </c>
    </row>
    <row r="207" spans="1:15" ht="37.5" customHeight="1" x14ac:dyDescent="0.2">
      <c r="A207" s="4" t="s">
        <v>959</v>
      </c>
      <c r="B207" s="21" t="s">
        <v>26</v>
      </c>
      <c r="C207" s="22" t="s">
        <v>957</v>
      </c>
      <c r="D207" s="8"/>
      <c r="E207" s="47">
        <f>E208</f>
        <v>150</v>
      </c>
    </row>
    <row r="208" spans="1:15" ht="35.25" customHeight="1" x14ac:dyDescent="0.2">
      <c r="A208" s="39" t="s">
        <v>307</v>
      </c>
      <c r="B208" s="21" t="s">
        <v>26</v>
      </c>
      <c r="C208" s="22" t="s">
        <v>958</v>
      </c>
      <c r="D208" s="8"/>
      <c r="E208" s="47">
        <f>E209</f>
        <v>150</v>
      </c>
    </row>
    <row r="209" spans="1:6" ht="36" customHeight="1" x14ac:dyDescent="0.2">
      <c r="A209" s="1" t="s">
        <v>706</v>
      </c>
      <c r="B209" s="21" t="s">
        <v>26</v>
      </c>
      <c r="C209" s="22" t="s">
        <v>958</v>
      </c>
      <c r="D209" s="8">
        <v>240</v>
      </c>
      <c r="E209" s="47">
        <v>150</v>
      </c>
    </row>
    <row r="210" spans="1:6" ht="36" customHeight="1" x14ac:dyDescent="0.2">
      <c r="A210" s="4" t="s">
        <v>1054</v>
      </c>
      <c r="B210" s="21" t="s">
        <v>26</v>
      </c>
      <c r="C210" s="22" t="s">
        <v>1052</v>
      </c>
      <c r="D210" s="8"/>
      <c r="E210" s="47">
        <f>E211</f>
        <v>6425</v>
      </c>
    </row>
    <row r="211" spans="1:6" ht="36" customHeight="1" x14ac:dyDescent="0.2">
      <c r="A211" s="11" t="s">
        <v>307</v>
      </c>
      <c r="B211" s="21" t="s">
        <v>26</v>
      </c>
      <c r="C211" s="22" t="s">
        <v>1053</v>
      </c>
      <c r="D211" s="8"/>
      <c r="E211" s="47">
        <f>E212</f>
        <v>6425</v>
      </c>
    </row>
    <row r="212" spans="1:6" ht="36" customHeight="1" x14ac:dyDescent="0.2">
      <c r="A212" s="1" t="s">
        <v>706</v>
      </c>
      <c r="B212" s="21" t="s">
        <v>26</v>
      </c>
      <c r="C212" s="22" t="s">
        <v>1053</v>
      </c>
      <c r="D212" s="8">
        <v>240</v>
      </c>
      <c r="E212" s="47">
        <v>6425</v>
      </c>
      <c r="F212" s="246"/>
    </row>
    <row r="213" spans="1:6" ht="31.5" customHeight="1" x14ac:dyDescent="0.2">
      <c r="A213" s="11" t="s">
        <v>139</v>
      </c>
      <c r="B213" s="8" t="s">
        <v>26</v>
      </c>
      <c r="C213" s="7" t="s">
        <v>361</v>
      </c>
      <c r="D213" s="8" t="s">
        <v>0</v>
      </c>
      <c r="E213" s="47">
        <f>E214</f>
        <v>80</v>
      </c>
    </row>
    <row r="214" spans="1:6" ht="31.5" x14ac:dyDescent="0.2">
      <c r="A214" s="39" t="s">
        <v>307</v>
      </c>
      <c r="B214" s="8" t="s">
        <v>26</v>
      </c>
      <c r="C214" s="7" t="s">
        <v>362</v>
      </c>
      <c r="D214" s="8"/>
      <c r="E214" s="47">
        <f>E215</f>
        <v>80</v>
      </c>
    </row>
    <row r="215" spans="1:6" ht="31.5" x14ac:dyDescent="0.2">
      <c r="A215" s="1" t="s">
        <v>706</v>
      </c>
      <c r="B215" s="8" t="s">
        <v>26</v>
      </c>
      <c r="C215" s="7" t="s">
        <v>362</v>
      </c>
      <c r="D215" s="8">
        <v>240</v>
      </c>
      <c r="E215" s="47">
        <v>80</v>
      </c>
    </row>
    <row r="216" spans="1:6" ht="69.75" customHeight="1" x14ac:dyDescent="0.2">
      <c r="A216" s="2" t="s">
        <v>140</v>
      </c>
      <c r="B216" s="8" t="s">
        <v>26</v>
      </c>
      <c r="C216" s="7" t="s">
        <v>367</v>
      </c>
      <c r="D216" s="8" t="s">
        <v>0</v>
      </c>
      <c r="E216" s="47">
        <f>E217+E222+E225+E228+E231</f>
        <v>125028.49999999999</v>
      </c>
    </row>
    <row r="217" spans="1:6" ht="39.75" customHeight="1" x14ac:dyDescent="0.2">
      <c r="A217" s="11" t="s">
        <v>141</v>
      </c>
      <c r="B217" s="8" t="s">
        <v>26</v>
      </c>
      <c r="C217" s="7" t="s">
        <v>368</v>
      </c>
      <c r="D217" s="8" t="s">
        <v>0</v>
      </c>
      <c r="E217" s="47">
        <f>E218+E220</f>
        <v>2783.2000000000003</v>
      </c>
    </row>
    <row r="218" spans="1:6" ht="47.25" x14ac:dyDescent="0.2">
      <c r="A218" s="11" t="s">
        <v>369</v>
      </c>
      <c r="B218" s="8" t="s">
        <v>26</v>
      </c>
      <c r="C218" s="7" t="s">
        <v>370</v>
      </c>
      <c r="D218" s="8"/>
      <c r="E218" s="47">
        <f>E219</f>
        <v>128.30000000000001</v>
      </c>
    </row>
    <row r="219" spans="1:6" ht="31.5" x14ac:dyDescent="0.2">
      <c r="A219" s="1" t="s">
        <v>706</v>
      </c>
      <c r="B219" s="8" t="s">
        <v>26</v>
      </c>
      <c r="C219" s="7" t="s">
        <v>370</v>
      </c>
      <c r="D219" s="8">
        <v>240</v>
      </c>
      <c r="E219" s="47">
        <v>128.30000000000001</v>
      </c>
      <c r="F219" s="116"/>
    </row>
    <row r="220" spans="1:6" ht="31.5" x14ac:dyDescent="0.2">
      <c r="A220" s="39" t="s">
        <v>307</v>
      </c>
      <c r="B220" s="8" t="s">
        <v>26</v>
      </c>
      <c r="C220" s="7" t="s">
        <v>371</v>
      </c>
      <c r="D220" s="8"/>
      <c r="E220" s="47">
        <f>SUM(E221:E221)</f>
        <v>2654.9</v>
      </c>
    </row>
    <row r="221" spans="1:6" ht="31.5" x14ac:dyDescent="0.2">
      <c r="A221" s="1" t="s">
        <v>706</v>
      </c>
      <c r="B221" s="8" t="s">
        <v>26</v>
      </c>
      <c r="C221" s="7" t="s">
        <v>371</v>
      </c>
      <c r="D221" s="8">
        <v>240</v>
      </c>
      <c r="E221" s="47">
        <v>2654.9</v>
      </c>
    </row>
    <row r="222" spans="1:6" ht="40.5" customHeight="1" x14ac:dyDescent="0.2">
      <c r="A222" s="1" t="s">
        <v>962</v>
      </c>
      <c r="B222" s="8" t="s">
        <v>26</v>
      </c>
      <c r="C222" s="7" t="s">
        <v>960</v>
      </c>
      <c r="D222" s="8"/>
      <c r="E222" s="47">
        <f>E223</f>
        <v>80</v>
      </c>
    </row>
    <row r="223" spans="1:6" ht="39" customHeight="1" x14ac:dyDescent="0.2">
      <c r="A223" s="39" t="s">
        <v>307</v>
      </c>
      <c r="B223" s="8" t="s">
        <v>26</v>
      </c>
      <c r="C223" s="7" t="s">
        <v>961</v>
      </c>
      <c r="D223" s="8"/>
      <c r="E223" s="47">
        <f>E224</f>
        <v>80</v>
      </c>
    </row>
    <row r="224" spans="1:6" ht="39" customHeight="1" x14ac:dyDescent="0.2">
      <c r="A224" s="1" t="s">
        <v>706</v>
      </c>
      <c r="B224" s="8" t="s">
        <v>26</v>
      </c>
      <c r="C224" s="7" t="s">
        <v>961</v>
      </c>
      <c r="D224" s="8">
        <v>240</v>
      </c>
      <c r="E224" s="47">
        <v>80</v>
      </c>
    </row>
    <row r="225" spans="1:6" ht="31.5" x14ac:dyDescent="0.2">
      <c r="A225" s="11" t="s">
        <v>142</v>
      </c>
      <c r="B225" s="8" t="s">
        <v>26</v>
      </c>
      <c r="C225" s="7" t="s">
        <v>382</v>
      </c>
      <c r="D225" s="8" t="s">
        <v>0</v>
      </c>
      <c r="E225" s="47">
        <f>E226</f>
        <v>2724</v>
      </c>
    </row>
    <row r="226" spans="1:6" ht="31.5" x14ac:dyDescent="0.2">
      <c r="A226" s="39" t="s">
        <v>307</v>
      </c>
      <c r="B226" s="8" t="s">
        <v>26</v>
      </c>
      <c r="C226" s="7" t="s">
        <v>383</v>
      </c>
      <c r="D226" s="8"/>
      <c r="E226" s="47">
        <f>E227</f>
        <v>2724</v>
      </c>
    </row>
    <row r="227" spans="1:6" ht="31.5" x14ac:dyDescent="0.2">
      <c r="A227" s="1" t="s">
        <v>706</v>
      </c>
      <c r="B227" s="8" t="s">
        <v>26</v>
      </c>
      <c r="C227" s="7" t="s">
        <v>383</v>
      </c>
      <c r="D227" s="8">
        <v>240</v>
      </c>
      <c r="E227" s="47">
        <v>2724</v>
      </c>
      <c r="F227" s="116"/>
    </row>
    <row r="228" spans="1:6" ht="31.5" x14ac:dyDescent="0.2">
      <c r="A228" s="11" t="s">
        <v>143</v>
      </c>
      <c r="B228" s="8" t="s">
        <v>26</v>
      </c>
      <c r="C228" s="7" t="s">
        <v>384</v>
      </c>
      <c r="D228" s="8"/>
      <c r="E228" s="47">
        <f>E229</f>
        <v>166</v>
      </c>
    </row>
    <row r="229" spans="1:6" ht="31.5" x14ac:dyDescent="0.2">
      <c r="A229" s="39" t="s">
        <v>307</v>
      </c>
      <c r="B229" s="8" t="s">
        <v>26</v>
      </c>
      <c r="C229" s="7" t="s">
        <v>385</v>
      </c>
      <c r="D229" s="8"/>
      <c r="E229" s="47">
        <f>E230</f>
        <v>166</v>
      </c>
    </row>
    <row r="230" spans="1:6" ht="31.5" x14ac:dyDescent="0.2">
      <c r="A230" s="1" t="s">
        <v>706</v>
      </c>
      <c r="B230" s="8" t="s">
        <v>26</v>
      </c>
      <c r="C230" s="7" t="s">
        <v>385</v>
      </c>
      <c r="D230" s="8">
        <v>240</v>
      </c>
      <c r="E230" s="47">
        <v>166</v>
      </c>
    </row>
    <row r="231" spans="1:6" ht="48.75" customHeight="1" x14ac:dyDescent="0.2">
      <c r="A231" s="1" t="s">
        <v>883</v>
      </c>
      <c r="B231" s="8" t="s">
        <v>26</v>
      </c>
      <c r="C231" s="7" t="s">
        <v>884</v>
      </c>
      <c r="D231" s="8"/>
      <c r="E231" s="47">
        <f>E232</f>
        <v>119275.29999999999</v>
      </c>
    </row>
    <row r="232" spans="1:6" ht="34.5" customHeight="1" x14ac:dyDescent="0.2">
      <c r="A232" s="1" t="s">
        <v>302</v>
      </c>
      <c r="B232" s="8" t="s">
        <v>26</v>
      </c>
      <c r="C232" s="7" t="s">
        <v>885</v>
      </c>
      <c r="D232" s="8"/>
      <c r="E232" s="47">
        <f>E233+E234+E235</f>
        <v>119275.29999999999</v>
      </c>
    </row>
    <row r="233" spans="1:6" ht="22.5" customHeight="1" x14ac:dyDescent="0.2">
      <c r="A233" s="2" t="s">
        <v>711</v>
      </c>
      <c r="B233" s="8" t="s">
        <v>26</v>
      </c>
      <c r="C233" s="7" t="s">
        <v>885</v>
      </c>
      <c r="D233" s="8">
        <v>110</v>
      </c>
      <c r="E233" s="47">
        <f>108349.4+2619.5</f>
        <v>110968.9</v>
      </c>
      <c r="F233" s="247"/>
    </row>
    <row r="234" spans="1:6" ht="40.5" customHeight="1" x14ac:dyDescent="0.2">
      <c r="A234" s="1" t="s">
        <v>706</v>
      </c>
      <c r="B234" s="8" t="s">
        <v>26</v>
      </c>
      <c r="C234" s="7" t="s">
        <v>885</v>
      </c>
      <c r="D234" s="8">
        <v>240</v>
      </c>
      <c r="E234" s="47">
        <v>7971.4</v>
      </c>
      <c r="F234" s="100"/>
    </row>
    <row r="235" spans="1:6" ht="18.75" customHeight="1" x14ac:dyDescent="0.2">
      <c r="A235" s="2" t="s">
        <v>712</v>
      </c>
      <c r="B235" s="8" t="s">
        <v>26</v>
      </c>
      <c r="C235" s="7" t="s">
        <v>885</v>
      </c>
      <c r="D235" s="8">
        <v>850</v>
      </c>
      <c r="E235" s="47">
        <v>335</v>
      </c>
      <c r="F235" s="87"/>
    </row>
    <row r="236" spans="1:6" s="86" customFormat="1" ht="47.25" x14ac:dyDescent="0.2">
      <c r="A236" s="5" t="s">
        <v>780</v>
      </c>
      <c r="B236" s="8" t="s">
        <v>26</v>
      </c>
      <c r="C236" s="7" t="s">
        <v>750</v>
      </c>
      <c r="D236" s="8"/>
      <c r="E236" s="47">
        <f>E237</f>
        <v>2600</v>
      </c>
    </row>
    <row r="237" spans="1:6" s="86" customFormat="1" ht="31.5" x14ac:dyDescent="0.2">
      <c r="A237" s="5" t="s">
        <v>876</v>
      </c>
      <c r="B237" s="8" t="s">
        <v>26</v>
      </c>
      <c r="C237" s="7" t="s">
        <v>875</v>
      </c>
      <c r="D237" s="8"/>
      <c r="E237" s="47">
        <f>E238</f>
        <v>2600</v>
      </c>
      <c r="F237" s="118"/>
    </row>
    <row r="238" spans="1:6" s="86" customFormat="1" ht="31.5" x14ac:dyDescent="0.2">
      <c r="A238" s="5" t="s">
        <v>877</v>
      </c>
      <c r="B238" s="8" t="s">
        <v>26</v>
      </c>
      <c r="C238" s="7" t="s">
        <v>874</v>
      </c>
      <c r="D238" s="8"/>
      <c r="E238" s="47">
        <f>E239</f>
        <v>2600</v>
      </c>
      <c r="F238" s="118"/>
    </row>
    <row r="239" spans="1:6" s="86" customFormat="1" ht="31.5" x14ac:dyDescent="0.2">
      <c r="A239" s="1" t="s">
        <v>706</v>
      </c>
      <c r="B239" s="8" t="s">
        <v>26</v>
      </c>
      <c r="C239" s="7" t="s">
        <v>874</v>
      </c>
      <c r="D239" s="8">
        <v>240</v>
      </c>
      <c r="E239" s="47">
        <v>2600</v>
      </c>
      <c r="F239" s="87"/>
    </row>
    <row r="240" spans="1:6" ht="31.5" x14ac:dyDescent="0.2">
      <c r="A240" s="31" t="s">
        <v>28</v>
      </c>
      <c r="B240" s="18" t="s">
        <v>29</v>
      </c>
      <c r="C240" s="15" t="s">
        <v>0</v>
      </c>
      <c r="D240" s="18" t="s">
        <v>0</v>
      </c>
      <c r="E240" s="182">
        <f>E241+E250</f>
        <v>15436.8</v>
      </c>
    </row>
    <row r="241" spans="1:6" ht="63" x14ac:dyDescent="0.2">
      <c r="A241" s="2" t="s">
        <v>118</v>
      </c>
      <c r="B241" s="8" t="s">
        <v>29</v>
      </c>
      <c r="C241" s="7" t="s">
        <v>431</v>
      </c>
      <c r="D241" s="8" t="s">
        <v>0</v>
      </c>
      <c r="E241" s="47">
        <f>E242</f>
        <v>431.4</v>
      </c>
    </row>
    <row r="242" spans="1:6" ht="31.5" x14ac:dyDescent="0.2">
      <c r="A242" s="2" t="s">
        <v>146</v>
      </c>
      <c r="B242" s="8" t="s">
        <v>29</v>
      </c>
      <c r="C242" s="7" t="s">
        <v>465</v>
      </c>
      <c r="D242" s="8" t="s">
        <v>0</v>
      </c>
      <c r="E242" s="47">
        <f>E243</f>
        <v>431.4</v>
      </c>
    </row>
    <row r="243" spans="1:6" ht="78.75" x14ac:dyDescent="0.2">
      <c r="A243" s="2" t="s">
        <v>147</v>
      </c>
      <c r="B243" s="8" t="s">
        <v>29</v>
      </c>
      <c r="C243" s="7" t="s">
        <v>466</v>
      </c>
      <c r="D243" s="8" t="s">
        <v>0</v>
      </c>
      <c r="E243" s="47">
        <f>E244+E247</f>
        <v>431.4</v>
      </c>
    </row>
    <row r="244" spans="1:6" ht="48.75" customHeight="1" x14ac:dyDescent="0.2">
      <c r="A244" s="39" t="s">
        <v>307</v>
      </c>
      <c r="B244" s="8" t="s">
        <v>29</v>
      </c>
      <c r="C244" s="7" t="s">
        <v>467</v>
      </c>
      <c r="D244" s="8"/>
      <c r="E244" s="47">
        <f>E245+E246</f>
        <v>431.4</v>
      </c>
    </row>
    <row r="245" spans="1:6" ht="34.5" customHeight="1" x14ac:dyDescent="0.2">
      <c r="A245" s="2" t="s">
        <v>710</v>
      </c>
      <c r="B245" s="8" t="s">
        <v>29</v>
      </c>
      <c r="C245" s="7" t="s">
        <v>467</v>
      </c>
      <c r="D245" s="8">
        <v>120</v>
      </c>
      <c r="E245" s="47">
        <f>410+10.4+1</f>
        <v>421.4</v>
      </c>
      <c r="F245" s="56"/>
    </row>
    <row r="246" spans="1:6" ht="34.5" customHeight="1" x14ac:dyDescent="0.2">
      <c r="A246" s="1" t="s">
        <v>706</v>
      </c>
      <c r="B246" s="8" t="s">
        <v>29</v>
      </c>
      <c r="C246" s="7" t="s">
        <v>467</v>
      </c>
      <c r="D246" s="8">
        <v>240</v>
      </c>
      <c r="E246" s="47">
        <v>10</v>
      </c>
    </row>
    <row r="247" spans="1:6" ht="31.5" x14ac:dyDescent="0.2">
      <c r="A247" s="2" t="s">
        <v>462</v>
      </c>
      <c r="B247" s="8" t="s">
        <v>29</v>
      </c>
      <c r="C247" s="7" t="s">
        <v>468</v>
      </c>
      <c r="D247" s="8"/>
      <c r="E247" s="47">
        <f>E248+E249</f>
        <v>0</v>
      </c>
    </row>
    <row r="248" spans="1:6" ht="31.5" x14ac:dyDescent="0.2">
      <c r="A248" s="2" t="s">
        <v>710</v>
      </c>
      <c r="B248" s="8" t="s">
        <v>29</v>
      </c>
      <c r="C248" s="7" t="s">
        <v>468</v>
      </c>
      <c r="D248" s="8">
        <v>120</v>
      </c>
      <c r="E248" s="47">
        <f>10+0.4-10.4</f>
        <v>0</v>
      </c>
      <c r="F248" s="56"/>
    </row>
    <row r="249" spans="1:6" ht="31.5" x14ac:dyDescent="0.2">
      <c r="A249" s="1" t="s">
        <v>706</v>
      </c>
      <c r="B249" s="8" t="s">
        <v>29</v>
      </c>
      <c r="C249" s="7" t="s">
        <v>468</v>
      </c>
      <c r="D249" s="8">
        <v>240</v>
      </c>
      <c r="E249" s="47">
        <f>1-1</f>
        <v>0</v>
      </c>
      <c r="F249" s="56"/>
    </row>
    <row r="250" spans="1:6" ht="78.75" x14ac:dyDescent="0.2">
      <c r="A250" s="39" t="s">
        <v>138</v>
      </c>
      <c r="B250" s="52" t="s">
        <v>29</v>
      </c>
      <c r="C250" s="36" t="s">
        <v>343</v>
      </c>
      <c r="D250" s="9"/>
      <c r="E250" s="47">
        <f>E251</f>
        <v>15005.4</v>
      </c>
    </row>
    <row r="251" spans="1:6" ht="47.25" x14ac:dyDescent="0.2">
      <c r="A251" s="39" t="s">
        <v>780</v>
      </c>
      <c r="B251" s="52" t="s">
        <v>29</v>
      </c>
      <c r="C251" s="36" t="s">
        <v>750</v>
      </c>
      <c r="D251" s="9"/>
      <c r="E251" s="47">
        <f>E252+E255+E258</f>
        <v>15005.4</v>
      </c>
    </row>
    <row r="252" spans="1:6" ht="47.25" x14ac:dyDescent="0.2">
      <c r="A252" s="48" t="s">
        <v>781</v>
      </c>
      <c r="B252" s="52" t="s">
        <v>29</v>
      </c>
      <c r="C252" s="36" t="s">
        <v>783</v>
      </c>
      <c r="D252" s="9"/>
      <c r="E252" s="47">
        <f>E253</f>
        <v>2681.4</v>
      </c>
    </row>
    <row r="253" spans="1:6" x14ac:dyDescent="0.2">
      <c r="A253" s="49" t="s">
        <v>463</v>
      </c>
      <c r="B253" s="52" t="s">
        <v>29</v>
      </c>
      <c r="C253" s="36" t="s">
        <v>963</v>
      </c>
      <c r="D253" s="9"/>
      <c r="E253" s="47">
        <f>E254</f>
        <v>2681.4</v>
      </c>
    </row>
    <row r="254" spans="1:6" ht="31.5" x14ac:dyDescent="0.2">
      <c r="A254" s="1" t="s">
        <v>706</v>
      </c>
      <c r="B254" s="52" t="s">
        <v>29</v>
      </c>
      <c r="C254" s="36" t="s">
        <v>963</v>
      </c>
      <c r="D254" s="9">
        <v>240</v>
      </c>
      <c r="E254" s="47">
        <v>2681.4</v>
      </c>
      <c r="F254" s="108"/>
    </row>
    <row r="255" spans="1:6" ht="31.5" x14ac:dyDescent="0.2">
      <c r="A255" s="49" t="s">
        <v>1084</v>
      </c>
      <c r="B255" s="52" t="s">
        <v>29</v>
      </c>
      <c r="C255" s="36" t="s">
        <v>784</v>
      </c>
      <c r="D255" s="9"/>
      <c r="E255" s="47">
        <f>E256</f>
        <v>2200</v>
      </c>
    </row>
    <row r="256" spans="1:6" x14ac:dyDescent="0.2">
      <c r="A256" s="49" t="s">
        <v>463</v>
      </c>
      <c r="B256" s="52" t="s">
        <v>29</v>
      </c>
      <c r="C256" s="36" t="s">
        <v>785</v>
      </c>
      <c r="D256" s="9"/>
      <c r="E256" s="47">
        <f>E257</f>
        <v>2200</v>
      </c>
    </row>
    <row r="257" spans="1:7" ht="31.5" x14ac:dyDescent="0.2">
      <c r="A257" s="1" t="s">
        <v>706</v>
      </c>
      <c r="B257" s="52" t="s">
        <v>29</v>
      </c>
      <c r="C257" s="36" t="s">
        <v>785</v>
      </c>
      <c r="D257" s="9">
        <v>240</v>
      </c>
      <c r="E257" s="47">
        <v>2200</v>
      </c>
      <c r="F257" s="108"/>
    </row>
    <row r="258" spans="1:7" ht="31.5" x14ac:dyDescent="0.2">
      <c r="A258" s="39" t="s">
        <v>782</v>
      </c>
      <c r="B258" s="52" t="s">
        <v>29</v>
      </c>
      <c r="C258" s="36" t="s">
        <v>751</v>
      </c>
      <c r="D258" s="9"/>
      <c r="E258" s="47">
        <f>E259</f>
        <v>10124</v>
      </c>
    </row>
    <row r="259" spans="1:7" x14ac:dyDescent="0.2">
      <c r="A259" s="37" t="s">
        <v>463</v>
      </c>
      <c r="B259" s="52" t="s">
        <v>29</v>
      </c>
      <c r="C259" s="36" t="s">
        <v>752</v>
      </c>
      <c r="D259" s="9"/>
      <c r="E259" s="47">
        <f>E260</f>
        <v>10124</v>
      </c>
    </row>
    <row r="260" spans="1:7" ht="31.5" x14ac:dyDescent="0.2">
      <c r="A260" s="1" t="s">
        <v>706</v>
      </c>
      <c r="B260" s="52" t="s">
        <v>29</v>
      </c>
      <c r="C260" s="36" t="s">
        <v>752</v>
      </c>
      <c r="D260" s="9">
        <v>240</v>
      </c>
      <c r="E260" s="47">
        <v>10124</v>
      </c>
      <c r="F260" s="108"/>
    </row>
    <row r="261" spans="1:7" x14ac:dyDescent="0.2">
      <c r="A261" s="16" t="s">
        <v>30</v>
      </c>
      <c r="B261" s="224" t="s">
        <v>31</v>
      </c>
      <c r="C261" s="224" t="s">
        <v>0</v>
      </c>
      <c r="D261" s="224" t="s">
        <v>0</v>
      </c>
      <c r="E261" s="225">
        <f>E262+E277+E293+E304+E320+E397</f>
        <v>4033636.4</v>
      </c>
    </row>
    <row r="262" spans="1:7" x14ac:dyDescent="0.2">
      <c r="A262" s="17" t="s">
        <v>32</v>
      </c>
      <c r="B262" s="18" t="s">
        <v>33</v>
      </c>
      <c r="C262" s="15" t="s">
        <v>0</v>
      </c>
      <c r="D262" s="18" t="s">
        <v>0</v>
      </c>
      <c r="E262" s="182">
        <f>E263+E272</f>
        <v>14394.900000000001</v>
      </c>
    </row>
    <row r="263" spans="1:7" ht="31.5" x14ac:dyDescent="0.2">
      <c r="A263" s="2" t="s">
        <v>149</v>
      </c>
      <c r="B263" s="8" t="s">
        <v>33</v>
      </c>
      <c r="C263" s="24" t="s">
        <v>288</v>
      </c>
      <c r="D263" s="8" t="s">
        <v>0</v>
      </c>
      <c r="E263" s="47">
        <f>E264</f>
        <v>12852.900000000001</v>
      </c>
    </row>
    <row r="264" spans="1:7" ht="31.5" x14ac:dyDescent="0.2">
      <c r="A264" s="2" t="s">
        <v>150</v>
      </c>
      <c r="B264" s="8" t="s">
        <v>33</v>
      </c>
      <c r="C264" s="24" t="s">
        <v>475</v>
      </c>
      <c r="D264" s="8" t="s">
        <v>0</v>
      </c>
      <c r="E264" s="47">
        <f>E265+E269</f>
        <v>12852.900000000001</v>
      </c>
    </row>
    <row r="265" spans="1:7" ht="31.5" x14ac:dyDescent="0.2">
      <c r="A265" s="2" t="s">
        <v>151</v>
      </c>
      <c r="B265" s="8" t="s">
        <v>33</v>
      </c>
      <c r="C265" s="24" t="s">
        <v>476</v>
      </c>
      <c r="D265" s="8" t="s">
        <v>0</v>
      </c>
      <c r="E265" s="47">
        <f>E266</f>
        <v>11062.2</v>
      </c>
    </row>
    <row r="266" spans="1:7" ht="31.5" x14ac:dyDescent="0.2">
      <c r="A266" s="25" t="s">
        <v>302</v>
      </c>
      <c r="B266" s="23" t="s">
        <v>33</v>
      </c>
      <c r="C266" s="24" t="s">
        <v>477</v>
      </c>
      <c r="D266" s="8"/>
      <c r="E266" s="47">
        <f>E267+E268</f>
        <v>11062.2</v>
      </c>
    </row>
    <row r="267" spans="1:7" x14ac:dyDescent="0.2">
      <c r="A267" s="2" t="s">
        <v>944</v>
      </c>
      <c r="B267" s="8" t="s">
        <v>33</v>
      </c>
      <c r="C267" s="7" t="s">
        <v>477</v>
      </c>
      <c r="D267" s="8">
        <v>610</v>
      </c>
      <c r="E267" s="47">
        <f>4343.8+271+1000+100</f>
        <v>5714.8</v>
      </c>
      <c r="F267" s="110"/>
      <c r="G267" s="60"/>
    </row>
    <row r="268" spans="1:7" x14ac:dyDescent="0.2">
      <c r="A268" s="2" t="s">
        <v>945</v>
      </c>
      <c r="B268" s="8" t="s">
        <v>33</v>
      </c>
      <c r="C268" s="7" t="s">
        <v>477</v>
      </c>
      <c r="D268" s="8">
        <v>620</v>
      </c>
      <c r="E268" s="47">
        <f>3947.4+1000+400</f>
        <v>5347.4</v>
      </c>
      <c r="F268" s="110"/>
      <c r="G268" s="60"/>
    </row>
    <row r="269" spans="1:7" ht="132.75" customHeight="1" x14ac:dyDescent="0.2">
      <c r="A269" s="2" t="s">
        <v>34</v>
      </c>
      <c r="B269" s="8" t="s">
        <v>33</v>
      </c>
      <c r="C269" s="24" t="s">
        <v>478</v>
      </c>
      <c r="D269" s="8" t="s">
        <v>0</v>
      </c>
      <c r="E269" s="47">
        <f>E270+E271</f>
        <v>1790.7</v>
      </c>
    </row>
    <row r="270" spans="1:7" x14ac:dyDescent="0.2">
      <c r="A270" s="2" t="s">
        <v>944</v>
      </c>
      <c r="B270" s="8" t="s">
        <v>33</v>
      </c>
      <c r="C270" s="24" t="s">
        <v>478</v>
      </c>
      <c r="D270" s="8">
        <v>610</v>
      </c>
      <c r="E270" s="200">
        <v>890.7</v>
      </c>
      <c r="F270" s="110"/>
    </row>
    <row r="271" spans="1:7" x14ac:dyDescent="0.2">
      <c r="A271" s="2" t="s">
        <v>945</v>
      </c>
      <c r="B271" s="8" t="s">
        <v>33</v>
      </c>
      <c r="C271" s="24" t="s">
        <v>478</v>
      </c>
      <c r="D271" s="8">
        <v>620</v>
      </c>
      <c r="E271" s="200">
        <v>900</v>
      </c>
      <c r="F271" s="110"/>
    </row>
    <row r="272" spans="1:7" ht="47.25" x14ac:dyDescent="0.2">
      <c r="A272" s="2" t="s">
        <v>152</v>
      </c>
      <c r="B272" s="8" t="s">
        <v>33</v>
      </c>
      <c r="C272" s="7" t="s">
        <v>519</v>
      </c>
      <c r="D272" s="8" t="s">
        <v>0</v>
      </c>
      <c r="E272" s="47">
        <f>E273</f>
        <v>1542</v>
      </c>
    </row>
    <row r="273" spans="1:6" x14ac:dyDescent="0.2">
      <c r="A273" s="2" t="s">
        <v>153</v>
      </c>
      <c r="B273" s="8" t="s">
        <v>33</v>
      </c>
      <c r="C273" s="7" t="s">
        <v>520</v>
      </c>
      <c r="D273" s="8" t="s">
        <v>0</v>
      </c>
      <c r="E273" s="47">
        <f>E274</f>
        <v>1542</v>
      </c>
    </row>
    <row r="274" spans="1:6" ht="31.5" x14ac:dyDescent="0.2">
      <c r="A274" s="2" t="s">
        <v>302</v>
      </c>
      <c r="B274" s="8" t="s">
        <v>33</v>
      </c>
      <c r="C274" s="7" t="s">
        <v>521</v>
      </c>
      <c r="D274" s="8"/>
      <c r="E274" s="47">
        <f>E275+E276</f>
        <v>1542</v>
      </c>
    </row>
    <row r="275" spans="1:6" x14ac:dyDescent="0.2">
      <c r="A275" s="2" t="s">
        <v>944</v>
      </c>
      <c r="B275" s="8" t="s">
        <v>33</v>
      </c>
      <c r="C275" s="7" t="s">
        <v>521</v>
      </c>
      <c r="D275" s="8">
        <v>610</v>
      </c>
      <c r="E275" s="47">
        <f>450+592+100</f>
        <v>1142</v>
      </c>
      <c r="F275" s="117"/>
    </row>
    <row r="276" spans="1:6" x14ac:dyDescent="0.2">
      <c r="A276" s="19" t="s">
        <v>945</v>
      </c>
      <c r="B276" s="8" t="s">
        <v>33</v>
      </c>
      <c r="C276" s="7" t="s">
        <v>521</v>
      </c>
      <c r="D276" s="8">
        <v>620</v>
      </c>
      <c r="E276" s="47">
        <v>400</v>
      </c>
      <c r="F276" s="117"/>
    </row>
    <row r="277" spans="1:6" x14ac:dyDescent="0.2">
      <c r="A277" s="17" t="s">
        <v>35</v>
      </c>
      <c r="B277" s="18" t="s">
        <v>36</v>
      </c>
      <c r="C277" s="15" t="s">
        <v>0</v>
      </c>
      <c r="D277" s="18" t="s">
        <v>0</v>
      </c>
      <c r="E277" s="182">
        <f>E278</f>
        <v>9778.9</v>
      </c>
    </row>
    <row r="278" spans="1:6" ht="60" x14ac:dyDescent="0.2">
      <c r="A278" s="208" t="s">
        <v>154</v>
      </c>
      <c r="B278" s="8" t="s">
        <v>36</v>
      </c>
      <c r="C278" s="7" t="s">
        <v>335</v>
      </c>
      <c r="D278" s="8" t="s">
        <v>0</v>
      </c>
      <c r="E278" s="47">
        <f>E279+E282+E287+E290</f>
        <v>9778.9</v>
      </c>
    </row>
    <row r="279" spans="1:6" ht="50.25" customHeight="1" x14ac:dyDescent="0.2">
      <c r="A279" s="209" t="s">
        <v>692</v>
      </c>
      <c r="B279" s="8" t="s">
        <v>36</v>
      </c>
      <c r="C279" s="7" t="s">
        <v>336</v>
      </c>
      <c r="D279" s="8" t="s">
        <v>0</v>
      </c>
      <c r="E279" s="47">
        <f>SUM(E280)</f>
        <v>4770</v>
      </c>
    </row>
    <row r="280" spans="1:6" ht="48.75" customHeight="1" x14ac:dyDescent="0.2">
      <c r="A280" s="214" t="s">
        <v>693</v>
      </c>
      <c r="B280" s="8" t="s">
        <v>36</v>
      </c>
      <c r="C280" s="7" t="s">
        <v>337</v>
      </c>
      <c r="D280" s="8"/>
      <c r="E280" s="47">
        <f>E281</f>
        <v>4770</v>
      </c>
    </row>
    <row r="281" spans="1:6" ht="48.75" customHeight="1" x14ac:dyDescent="0.2">
      <c r="A281" s="2" t="s">
        <v>682</v>
      </c>
      <c r="B281" s="8" t="s">
        <v>36</v>
      </c>
      <c r="C281" s="7" t="s">
        <v>337</v>
      </c>
      <c r="D281" s="8">
        <v>810</v>
      </c>
      <c r="E281" s="47">
        <v>4770</v>
      </c>
    </row>
    <row r="282" spans="1:6" ht="37.5" customHeight="1" x14ac:dyDescent="0.2">
      <c r="A282" s="210" t="s">
        <v>999</v>
      </c>
      <c r="B282" s="8" t="s">
        <v>36</v>
      </c>
      <c r="C282" s="7" t="s">
        <v>1002</v>
      </c>
      <c r="D282" s="8"/>
      <c r="E282" s="47">
        <f>E283+E285</f>
        <v>3561.9</v>
      </c>
    </row>
    <row r="283" spans="1:6" ht="31.5" customHeight="1" x14ac:dyDescent="0.2">
      <c r="A283" s="211" t="s">
        <v>1000</v>
      </c>
      <c r="B283" s="8" t="s">
        <v>36</v>
      </c>
      <c r="C283" s="7" t="s">
        <v>1003</v>
      </c>
      <c r="D283" s="8"/>
      <c r="E283" s="47">
        <f>E284</f>
        <v>3473.9</v>
      </c>
    </row>
    <row r="284" spans="1:6" ht="30.75" customHeight="1" x14ac:dyDescent="0.2">
      <c r="A284" s="212" t="s">
        <v>682</v>
      </c>
      <c r="B284" s="8" t="s">
        <v>36</v>
      </c>
      <c r="C284" s="7" t="s">
        <v>1003</v>
      </c>
      <c r="D284" s="8">
        <v>810</v>
      </c>
      <c r="E284" s="47">
        <v>3473.9</v>
      </c>
    </row>
    <row r="285" spans="1:6" ht="34.5" customHeight="1" x14ac:dyDescent="0.2">
      <c r="A285" s="213" t="s">
        <v>1001</v>
      </c>
      <c r="B285" s="8" t="s">
        <v>36</v>
      </c>
      <c r="C285" s="7" t="s">
        <v>1004</v>
      </c>
      <c r="D285" s="8"/>
      <c r="E285" s="47">
        <f>E286</f>
        <v>88</v>
      </c>
    </row>
    <row r="286" spans="1:6" ht="34.5" customHeight="1" x14ac:dyDescent="0.2">
      <c r="A286" s="212" t="s">
        <v>682</v>
      </c>
      <c r="B286" s="8" t="s">
        <v>36</v>
      </c>
      <c r="C286" s="7" t="s">
        <v>1004</v>
      </c>
      <c r="D286" s="8">
        <v>810</v>
      </c>
      <c r="E286" s="47">
        <v>88</v>
      </c>
    </row>
    <row r="287" spans="1:6" ht="42.75" customHeight="1" x14ac:dyDescent="0.2">
      <c r="A287" s="208" t="s">
        <v>155</v>
      </c>
      <c r="B287" s="8" t="s">
        <v>36</v>
      </c>
      <c r="C287" s="7" t="s">
        <v>338</v>
      </c>
      <c r="D287" s="8" t="s">
        <v>0</v>
      </c>
      <c r="E287" s="47">
        <f>E288</f>
        <v>447</v>
      </c>
    </row>
    <row r="288" spans="1:6" ht="45" x14ac:dyDescent="0.2">
      <c r="A288" s="208" t="s">
        <v>334</v>
      </c>
      <c r="B288" s="8" t="s">
        <v>36</v>
      </c>
      <c r="C288" s="7" t="s">
        <v>339</v>
      </c>
      <c r="D288" s="8"/>
      <c r="E288" s="47">
        <f>E289</f>
        <v>447</v>
      </c>
    </row>
    <row r="289" spans="1:6" ht="36" customHeight="1" x14ac:dyDescent="0.2">
      <c r="A289" s="208" t="s">
        <v>682</v>
      </c>
      <c r="B289" s="8" t="s">
        <v>36</v>
      </c>
      <c r="C289" s="7" t="s">
        <v>339</v>
      </c>
      <c r="D289" s="8">
        <v>810</v>
      </c>
      <c r="E289" s="47">
        <v>447</v>
      </c>
      <c r="F289" s="164"/>
    </row>
    <row r="290" spans="1:6" ht="20.25" customHeight="1" x14ac:dyDescent="0.2">
      <c r="A290" s="208" t="s">
        <v>156</v>
      </c>
      <c r="B290" s="8" t="s">
        <v>36</v>
      </c>
      <c r="C290" s="7" t="s">
        <v>340</v>
      </c>
      <c r="D290" s="8" t="s">
        <v>0</v>
      </c>
      <c r="E290" s="47">
        <f>SUM(E291)</f>
        <v>1000</v>
      </c>
    </row>
    <row r="291" spans="1:6" ht="31.5" x14ac:dyDescent="0.2">
      <c r="A291" s="39" t="s">
        <v>307</v>
      </c>
      <c r="B291" s="8" t="s">
        <v>36</v>
      </c>
      <c r="C291" s="7" t="s">
        <v>341</v>
      </c>
      <c r="D291" s="8"/>
      <c r="E291" s="47">
        <f>E292</f>
        <v>1000</v>
      </c>
    </row>
    <row r="292" spans="1:6" ht="37.5" customHeight="1" x14ac:dyDescent="0.2">
      <c r="A292" s="215" t="s">
        <v>706</v>
      </c>
      <c r="B292" s="8" t="s">
        <v>36</v>
      </c>
      <c r="C292" s="7" t="s">
        <v>341</v>
      </c>
      <c r="D292" s="8">
        <v>240</v>
      </c>
      <c r="E292" s="47">
        <v>1000</v>
      </c>
      <c r="F292" s="109"/>
    </row>
    <row r="293" spans="1:6" x14ac:dyDescent="0.2">
      <c r="A293" s="216" t="s">
        <v>38</v>
      </c>
      <c r="B293" s="18" t="s">
        <v>39</v>
      </c>
      <c r="C293" s="15" t="s">
        <v>0</v>
      </c>
      <c r="D293" s="18" t="s">
        <v>0</v>
      </c>
      <c r="E293" s="182">
        <f>E294</f>
        <v>40000</v>
      </c>
    </row>
    <row r="294" spans="1:6" ht="60" x14ac:dyDescent="0.2">
      <c r="A294" s="208" t="s">
        <v>138</v>
      </c>
      <c r="B294" s="21" t="s">
        <v>39</v>
      </c>
      <c r="C294" s="7" t="s">
        <v>343</v>
      </c>
      <c r="D294" s="21"/>
      <c r="E294" s="170">
        <f>E295</f>
        <v>40000</v>
      </c>
    </row>
    <row r="295" spans="1:6" ht="33" customHeight="1" x14ac:dyDescent="0.2">
      <c r="A295" s="208" t="s">
        <v>257</v>
      </c>
      <c r="B295" s="8" t="s">
        <v>39</v>
      </c>
      <c r="C295" s="7" t="s">
        <v>267</v>
      </c>
      <c r="D295" s="8"/>
      <c r="E295" s="47">
        <f>E297+E299</f>
        <v>40000</v>
      </c>
    </row>
    <row r="296" spans="1:6" ht="33" customHeight="1" x14ac:dyDescent="0.2">
      <c r="A296" s="217" t="s">
        <v>965</v>
      </c>
      <c r="B296" s="35" t="s">
        <v>39</v>
      </c>
      <c r="C296" s="36" t="s">
        <v>966</v>
      </c>
      <c r="D296" s="36"/>
      <c r="E296" s="47">
        <f>E297</f>
        <v>15000</v>
      </c>
    </row>
    <row r="297" spans="1:6" ht="33" customHeight="1" x14ac:dyDescent="0.2">
      <c r="A297" s="218" t="s">
        <v>376</v>
      </c>
      <c r="B297" s="35" t="s">
        <v>39</v>
      </c>
      <c r="C297" s="183" t="s">
        <v>967</v>
      </c>
      <c r="D297" s="183"/>
      <c r="E297" s="47">
        <f>E298</f>
        <v>15000</v>
      </c>
    </row>
    <row r="298" spans="1:6" ht="33" customHeight="1" x14ac:dyDescent="0.2">
      <c r="A298" s="219" t="s">
        <v>157</v>
      </c>
      <c r="B298" s="35" t="s">
        <v>39</v>
      </c>
      <c r="C298" s="183" t="s">
        <v>967</v>
      </c>
      <c r="D298" s="183" t="s">
        <v>158</v>
      </c>
      <c r="E298" s="47">
        <f>10000+5000</f>
        <v>15000</v>
      </c>
    </row>
    <row r="299" spans="1:6" ht="28.5" customHeight="1" x14ac:dyDescent="0.2">
      <c r="A299" s="220" t="s">
        <v>266</v>
      </c>
      <c r="B299" s="8" t="s">
        <v>39</v>
      </c>
      <c r="C299" s="7" t="s">
        <v>268</v>
      </c>
      <c r="D299" s="8"/>
      <c r="E299" s="47">
        <f>E300+E302</f>
        <v>25000</v>
      </c>
    </row>
    <row r="300" spans="1:6" ht="30" x14ac:dyDescent="0.2">
      <c r="A300" s="219" t="s">
        <v>987</v>
      </c>
      <c r="B300" s="35" t="s">
        <v>39</v>
      </c>
      <c r="C300" s="202" t="s">
        <v>988</v>
      </c>
      <c r="D300" s="203"/>
      <c r="E300" s="200">
        <f>E301</f>
        <v>20000</v>
      </c>
    </row>
    <row r="301" spans="1:6" ht="30" x14ac:dyDescent="0.2">
      <c r="A301" s="218" t="s">
        <v>706</v>
      </c>
      <c r="B301" s="8" t="s">
        <v>39</v>
      </c>
      <c r="C301" s="202" t="s">
        <v>988</v>
      </c>
      <c r="D301" s="196">
        <v>240</v>
      </c>
      <c r="E301" s="200">
        <v>20000</v>
      </c>
    </row>
    <row r="302" spans="1:6" ht="30" x14ac:dyDescent="0.2">
      <c r="A302" s="221" t="s">
        <v>360</v>
      </c>
      <c r="B302" s="8" t="s">
        <v>39</v>
      </c>
      <c r="C302" s="22" t="s">
        <v>351</v>
      </c>
      <c r="D302" s="21"/>
      <c r="E302" s="170">
        <f>E303</f>
        <v>5000</v>
      </c>
    </row>
    <row r="303" spans="1:6" ht="30" x14ac:dyDescent="0.2">
      <c r="A303" s="215" t="s">
        <v>706</v>
      </c>
      <c r="B303" s="8" t="s">
        <v>39</v>
      </c>
      <c r="C303" s="22" t="s">
        <v>351</v>
      </c>
      <c r="D303" s="21">
        <v>240</v>
      </c>
      <c r="E303" s="170">
        <v>5000</v>
      </c>
      <c r="F303" s="75"/>
    </row>
    <row r="304" spans="1:6" x14ac:dyDescent="0.2">
      <c r="A304" s="222" t="s">
        <v>40</v>
      </c>
      <c r="B304" s="18" t="s">
        <v>41</v>
      </c>
      <c r="C304" s="15" t="s">
        <v>0</v>
      </c>
      <c r="D304" s="18" t="s">
        <v>0</v>
      </c>
      <c r="E304" s="182">
        <f>E305</f>
        <v>148546</v>
      </c>
    </row>
    <row r="305" spans="1:7" ht="45" x14ac:dyDescent="0.2">
      <c r="A305" s="208" t="s">
        <v>144</v>
      </c>
      <c r="B305" s="8" t="s">
        <v>41</v>
      </c>
      <c r="C305" s="7" t="s">
        <v>294</v>
      </c>
      <c r="D305" s="8"/>
      <c r="E305" s="47">
        <f>E306</f>
        <v>148546</v>
      </c>
    </row>
    <row r="306" spans="1:7" ht="47.25" x14ac:dyDescent="0.2">
      <c r="A306" s="2" t="s">
        <v>145</v>
      </c>
      <c r="B306" s="8" t="s">
        <v>41</v>
      </c>
      <c r="C306" s="7" t="s">
        <v>298</v>
      </c>
      <c r="D306" s="8"/>
      <c r="E306" s="47">
        <f>E307</f>
        <v>148546</v>
      </c>
    </row>
    <row r="307" spans="1:7" x14ac:dyDescent="0.2">
      <c r="A307" s="2" t="s">
        <v>349</v>
      </c>
      <c r="B307" s="8" t="s">
        <v>41</v>
      </c>
      <c r="C307" s="7" t="s">
        <v>350</v>
      </c>
      <c r="D307" s="8"/>
      <c r="E307" s="47">
        <f>E314++E316+E318+E308+E312</f>
        <v>148546</v>
      </c>
    </row>
    <row r="308" spans="1:7" ht="31.5" x14ac:dyDescent="0.2">
      <c r="A308" s="2" t="s">
        <v>302</v>
      </c>
      <c r="B308" s="8" t="s">
        <v>41</v>
      </c>
      <c r="C308" s="7" t="s">
        <v>1050</v>
      </c>
      <c r="D308" s="8"/>
      <c r="E308" s="201">
        <f>E309+E310+E311</f>
        <v>20700.099999999999</v>
      </c>
      <c r="F308" s="239"/>
      <c r="G308" s="236"/>
    </row>
    <row r="309" spans="1:7" x14ac:dyDescent="0.2">
      <c r="A309" s="2" t="s">
        <v>711</v>
      </c>
      <c r="B309" s="8" t="s">
        <v>41</v>
      </c>
      <c r="C309" s="7" t="s">
        <v>1050</v>
      </c>
      <c r="D309" s="8">
        <v>110</v>
      </c>
      <c r="E309" s="240">
        <f>18652.5+685</f>
        <v>19337.5</v>
      </c>
      <c r="F309" s="241"/>
      <c r="G309" s="236"/>
    </row>
    <row r="310" spans="1:7" ht="31.5" x14ac:dyDescent="0.2">
      <c r="A310" s="2" t="s">
        <v>706</v>
      </c>
      <c r="B310" s="8" t="s">
        <v>41</v>
      </c>
      <c r="C310" s="7" t="s">
        <v>1050</v>
      </c>
      <c r="D310" s="8">
        <v>240</v>
      </c>
      <c r="E310" s="240">
        <v>1350.6</v>
      </c>
      <c r="F310" s="241"/>
      <c r="G310" s="236"/>
    </row>
    <row r="311" spans="1:7" x14ac:dyDescent="0.2">
      <c r="A311" s="2" t="s">
        <v>712</v>
      </c>
      <c r="B311" s="8" t="s">
        <v>41</v>
      </c>
      <c r="C311" s="7" t="s">
        <v>1050</v>
      </c>
      <c r="D311" s="8">
        <v>850</v>
      </c>
      <c r="E311" s="240">
        <v>12</v>
      </c>
      <c r="F311" s="241"/>
      <c r="G311" s="236"/>
    </row>
    <row r="312" spans="1:7" ht="47.25" x14ac:dyDescent="0.2">
      <c r="A312" s="11" t="s">
        <v>871</v>
      </c>
      <c r="B312" s="8" t="s">
        <v>41</v>
      </c>
      <c r="C312" s="7" t="s">
        <v>1051</v>
      </c>
      <c r="D312" s="8"/>
      <c r="E312" s="240">
        <f>E313</f>
        <v>84</v>
      </c>
      <c r="F312" s="241"/>
      <c r="G312" s="236"/>
    </row>
    <row r="313" spans="1:7" x14ac:dyDescent="0.2">
      <c r="A313" s="11" t="s">
        <v>711</v>
      </c>
      <c r="B313" s="8" t="s">
        <v>41</v>
      </c>
      <c r="C313" s="7" t="s">
        <v>1051</v>
      </c>
      <c r="D313" s="8">
        <v>110</v>
      </c>
      <c r="E313" s="201">
        <v>84</v>
      </c>
      <c r="F313" s="238"/>
      <c r="G313" s="236"/>
    </row>
    <row r="314" spans="1:7" ht="31.5" x14ac:dyDescent="0.2">
      <c r="A314" s="1" t="s">
        <v>1036</v>
      </c>
      <c r="B314" s="8" t="s">
        <v>41</v>
      </c>
      <c r="C314" s="7" t="s">
        <v>1037</v>
      </c>
      <c r="D314" s="8"/>
      <c r="E314" s="47">
        <f>E315</f>
        <v>27484.3</v>
      </c>
    </row>
    <row r="315" spans="1:7" ht="31.5" x14ac:dyDescent="0.2">
      <c r="A315" s="11" t="s">
        <v>706</v>
      </c>
      <c r="B315" s="8" t="s">
        <v>41</v>
      </c>
      <c r="C315" s="7" t="s">
        <v>1037</v>
      </c>
      <c r="D315" s="8">
        <v>240</v>
      </c>
      <c r="E315" s="47">
        <v>27484.3</v>
      </c>
    </row>
    <row r="316" spans="1:7" ht="47.25" x14ac:dyDescent="0.2">
      <c r="A316" s="1" t="s">
        <v>818</v>
      </c>
      <c r="B316" s="8" t="s">
        <v>41</v>
      </c>
      <c r="C316" s="7" t="s">
        <v>1038</v>
      </c>
      <c r="D316" s="8"/>
      <c r="E316" s="47">
        <f>E317</f>
        <v>277.60000000000002</v>
      </c>
    </row>
    <row r="317" spans="1:7" ht="31.5" x14ac:dyDescent="0.2">
      <c r="A317" s="11" t="s">
        <v>706</v>
      </c>
      <c r="B317" s="8" t="s">
        <v>41</v>
      </c>
      <c r="C317" s="7" t="s">
        <v>1038</v>
      </c>
      <c r="D317" s="8">
        <v>240</v>
      </c>
      <c r="E317" s="47">
        <v>277.60000000000002</v>
      </c>
    </row>
    <row r="318" spans="1:7" ht="47.25" x14ac:dyDescent="0.2">
      <c r="A318" s="66" t="s">
        <v>745</v>
      </c>
      <c r="B318" s="8" t="s">
        <v>41</v>
      </c>
      <c r="C318" s="7" t="s">
        <v>835</v>
      </c>
      <c r="D318" s="8"/>
      <c r="E318" s="47">
        <f>E319</f>
        <v>100000</v>
      </c>
      <c r="F318" s="58"/>
    </row>
    <row r="319" spans="1:7" ht="47.25" x14ac:dyDescent="0.2">
      <c r="A319" s="2" t="s">
        <v>682</v>
      </c>
      <c r="B319" s="8" t="s">
        <v>41</v>
      </c>
      <c r="C319" s="7" t="s">
        <v>835</v>
      </c>
      <c r="D319" s="8">
        <v>810</v>
      </c>
      <c r="E319" s="47">
        <f>45000+55000</f>
        <v>100000</v>
      </c>
      <c r="F319" s="58"/>
    </row>
    <row r="320" spans="1:7" x14ac:dyDescent="0.2">
      <c r="A320" s="17" t="s">
        <v>42</v>
      </c>
      <c r="B320" s="18" t="s">
        <v>43</v>
      </c>
      <c r="C320" s="15" t="s">
        <v>0</v>
      </c>
      <c r="D320" s="18" t="s">
        <v>0</v>
      </c>
      <c r="E320" s="182">
        <f>E321+E368+E386+E381+E391</f>
        <v>3511368.1</v>
      </c>
    </row>
    <row r="321" spans="1:6" ht="47.25" x14ac:dyDescent="0.2">
      <c r="A321" s="2" t="s">
        <v>144</v>
      </c>
      <c r="B321" s="8" t="s">
        <v>43</v>
      </c>
      <c r="C321" s="7" t="s">
        <v>294</v>
      </c>
      <c r="D321" s="8" t="s">
        <v>0</v>
      </c>
      <c r="E321" s="47">
        <f>E322+E347</f>
        <v>2481629.8000000003</v>
      </c>
    </row>
    <row r="322" spans="1:6" ht="55.5" customHeight="1" x14ac:dyDescent="0.2">
      <c r="A322" s="2" t="s">
        <v>159</v>
      </c>
      <c r="B322" s="8" t="s">
        <v>43</v>
      </c>
      <c r="C322" s="7" t="s">
        <v>295</v>
      </c>
      <c r="D322" s="8" t="s">
        <v>0</v>
      </c>
      <c r="E322" s="47">
        <f>E323+E336</f>
        <v>2429547.2000000002</v>
      </c>
    </row>
    <row r="323" spans="1:6" x14ac:dyDescent="0.2">
      <c r="A323" s="2" t="s">
        <v>160</v>
      </c>
      <c r="B323" s="8" t="s">
        <v>43</v>
      </c>
      <c r="C323" s="7" t="s">
        <v>296</v>
      </c>
      <c r="D323" s="8" t="s">
        <v>0</v>
      </c>
      <c r="E323" s="47">
        <f>E324+E326+E332+E334+E328+E330</f>
        <v>940852.8</v>
      </c>
    </row>
    <row r="324" spans="1:6" ht="84.75" customHeight="1" x14ac:dyDescent="0.2">
      <c r="A324" s="6" t="s">
        <v>303</v>
      </c>
      <c r="B324" s="8" t="s">
        <v>43</v>
      </c>
      <c r="C324" s="7" t="s">
        <v>374</v>
      </c>
      <c r="D324" s="8"/>
      <c r="E324" s="47">
        <f>E325</f>
        <v>52631.8</v>
      </c>
    </row>
    <row r="325" spans="1:6" ht="38.25" customHeight="1" x14ac:dyDescent="0.2">
      <c r="A325" s="1" t="s">
        <v>706</v>
      </c>
      <c r="B325" s="8" t="s">
        <v>43</v>
      </c>
      <c r="C325" s="7" t="s">
        <v>374</v>
      </c>
      <c r="D325" s="8">
        <v>240</v>
      </c>
      <c r="E325" s="47">
        <f>54934-2302.2</f>
        <v>52631.8</v>
      </c>
      <c r="F325" s="63"/>
    </row>
    <row r="326" spans="1:6" x14ac:dyDescent="0.2">
      <c r="A326" s="6" t="s">
        <v>376</v>
      </c>
      <c r="B326" s="8" t="s">
        <v>43</v>
      </c>
      <c r="C326" s="7" t="s">
        <v>375</v>
      </c>
      <c r="D326" s="8"/>
      <c r="E326" s="47">
        <f>E327</f>
        <v>403977.20000000007</v>
      </c>
    </row>
    <row r="327" spans="1:6" ht="33" customHeight="1" x14ac:dyDescent="0.2">
      <c r="A327" s="2" t="s">
        <v>157</v>
      </c>
      <c r="B327" s="206" t="s">
        <v>43</v>
      </c>
      <c r="C327" s="207" t="s">
        <v>375</v>
      </c>
      <c r="D327" s="8" t="s">
        <v>158</v>
      </c>
      <c r="E327" s="201">
        <f>590259+64266.8-5265.6-261400+16117</f>
        <v>403977.20000000007</v>
      </c>
      <c r="F327" s="75"/>
    </row>
    <row r="328" spans="1:6" ht="33" customHeight="1" x14ac:dyDescent="0.2">
      <c r="A328" s="2" t="s">
        <v>1036</v>
      </c>
      <c r="B328" s="206" t="s">
        <v>43</v>
      </c>
      <c r="C328" s="207" t="s">
        <v>1055</v>
      </c>
      <c r="D328" s="8"/>
      <c r="E328" s="201">
        <f>E329</f>
        <v>227918.2</v>
      </c>
      <c r="F328" s="75"/>
    </row>
    <row r="329" spans="1:6" ht="33" customHeight="1" x14ac:dyDescent="0.2">
      <c r="A329" s="2" t="s">
        <v>706</v>
      </c>
      <c r="B329" s="206" t="s">
        <v>43</v>
      </c>
      <c r="C329" s="207" t="s">
        <v>1055</v>
      </c>
      <c r="D329" s="8">
        <v>240</v>
      </c>
      <c r="E329" s="201">
        <v>227918.2</v>
      </c>
      <c r="F329" s="245"/>
    </row>
    <row r="330" spans="1:6" ht="33" customHeight="1" x14ac:dyDescent="0.2">
      <c r="A330" s="2" t="s">
        <v>818</v>
      </c>
      <c r="B330" s="206" t="s">
        <v>43</v>
      </c>
      <c r="C330" s="207" t="s">
        <v>1056</v>
      </c>
      <c r="D330" s="8"/>
      <c r="E330" s="201">
        <f>E331</f>
        <v>2302.1999999999998</v>
      </c>
      <c r="F330" s="75"/>
    </row>
    <row r="331" spans="1:6" ht="33" customHeight="1" x14ac:dyDescent="0.2">
      <c r="A331" s="2" t="s">
        <v>706</v>
      </c>
      <c r="B331" s="206" t="s">
        <v>43</v>
      </c>
      <c r="C331" s="207" t="s">
        <v>1056</v>
      </c>
      <c r="D331" s="8">
        <v>240</v>
      </c>
      <c r="E331" s="201">
        <v>2302.1999999999998</v>
      </c>
      <c r="F331" s="245"/>
    </row>
    <row r="332" spans="1:6" ht="31.5" x14ac:dyDescent="0.2">
      <c r="A332" s="205" t="s">
        <v>997</v>
      </c>
      <c r="B332" s="206" t="s">
        <v>43</v>
      </c>
      <c r="C332" s="207" t="s">
        <v>992</v>
      </c>
      <c r="D332" s="8"/>
      <c r="E332" s="47">
        <f>E333</f>
        <v>177816.4</v>
      </c>
      <c r="F332" s="75"/>
    </row>
    <row r="333" spans="1:6" ht="33" customHeight="1" x14ac:dyDescent="0.2">
      <c r="A333" s="2" t="s">
        <v>157</v>
      </c>
      <c r="B333" s="8" t="s">
        <v>43</v>
      </c>
      <c r="C333" s="7" t="s">
        <v>992</v>
      </c>
      <c r="D333" s="8" t="s">
        <v>158</v>
      </c>
      <c r="E333" s="47">
        <v>177816.4</v>
      </c>
      <c r="F333" s="75"/>
    </row>
    <row r="334" spans="1:6" ht="33" customHeight="1" x14ac:dyDescent="0.2">
      <c r="A334" s="2" t="s">
        <v>998</v>
      </c>
      <c r="B334" s="8" t="s">
        <v>43</v>
      </c>
      <c r="C334" s="7" t="s">
        <v>991</v>
      </c>
      <c r="D334" s="8"/>
      <c r="E334" s="47">
        <f>E335</f>
        <v>76207</v>
      </c>
      <c r="F334" s="75"/>
    </row>
    <row r="335" spans="1:6" ht="33" customHeight="1" x14ac:dyDescent="0.2">
      <c r="A335" s="2" t="s">
        <v>157</v>
      </c>
      <c r="B335" s="8" t="s">
        <v>43</v>
      </c>
      <c r="C335" s="7" t="s">
        <v>991</v>
      </c>
      <c r="D335" s="8" t="s">
        <v>158</v>
      </c>
      <c r="E335" s="47">
        <v>76207</v>
      </c>
      <c r="F335" s="75"/>
    </row>
    <row r="336" spans="1:6" ht="47.25" x14ac:dyDescent="0.2">
      <c r="A336" s="2" t="s">
        <v>161</v>
      </c>
      <c r="B336" s="8" t="s">
        <v>43</v>
      </c>
      <c r="C336" s="7" t="s">
        <v>297</v>
      </c>
      <c r="D336" s="8" t="s">
        <v>0</v>
      </c>
      <c r="E336" s="47">
        <f>E339+E342+E345+E337</f>
        <v>1488694.4</v>
      </c>
    </row>
    <row r="337" spans="1:5" ht="78.75" x14ac:dyDescent="0.2">
      <c r="A337" s="6" t="s">
        <v>303</v>
      </c>
      <c r="B337" s="8" t="s">
        <v>43</v>
      </c>
      <c r="C337" s="7" t="s">
        <v>980</v>
      </c>
      <c r="D337" s="8"/>
      <c r="E337" s="47">
        <f>E338</f>
        <v>430906.7</v>
      </c>
    </row>
    <row r="338" spans="1:5" ht="31.5" x14ac:dyDescent="0.2">
      <c r="A338" s="1" t="s">
        <v>706</v>
      </c>
      <c r="B338" s="8" t="s">
        <v>43</v>
      </c>
      <c r="C338" s="7" t="s">
        <v>980</v>
      </c>
      <c r="D338" s="8">
        <v>240</v>
      </c>
      <c r="E338" s="47">
        <f>390582-0.1+40324.8</f>
        <v>430906.7</v>
      </c>
    </row>
    <row r="339" spans="1:5" ht="31.5" x14ac:dyDescent="0.2">
      <c r="A339" s="3" t="s">
        <v>44</v>
      </c>
      <c r="B339" s="8" t="s">
        <v>43</v>
      </c>
      <c r="C339" s="7" t="s">
        <v>306</v>
      </c>
      <c r="D339" s="8"/>
      <c r="E339" s="47">
        <f>E340+E341</f>
        <v>534617.59999999998</v>
      </c>
    </row>
    <row r="340" spans="1:5" ht="31.5" x14ac:dyDescent="0.2">
      <c r="A340" s="1" t="s">
        <v>706</v>
      </c>
      <c r="B340" s="8" t="s">
        <v>43</v>
      </c>
      <c r="C340" s="7" t="s">
        <v>306</v>
      </c>
      <c r="D340" s="8">
        <v>240</v>
      </c>
      <c r="E340" s="47">
        <v>254900</v>
      </c>
    </row>
    <row r="341" spans="1:5" ht="47.25" x14ac:dyDescent="0.2">
      <c r="A341" s="2" t="s">
        <v>682</v>
      </c>
      <c r="B341" s="8" t="s">
        <v>43</v>
      </c>
      <c r="C341" s="7" t="s">
        <v>306</v>
      </c>
      <c r="D341" s="8">
        <v>810</v>
      </c>
      <c r="E341" s="47">
        <f>100524.4+179193.2</f>
        <v>279717.59999999998</v>
      </c>
    </row>
    <row r="342" spans="1:5" ht="31.5" x14ac:dyDescent="0.2">
      <c r="A342" s="3" t="s">
        <v>304</v>
      </c>
      <c r="B342" s="8" t="s">
        <v>43</v>
      </c>
      <c r="C342" s="7" t="s">
        <v>305</v>
      </c>
      <c r="D342" s="8"/>
      <c r="E342" s="47">
        <f>E343+E344</f>
        <v>5400.2000000000007</v>
      </c>
    </row>
    <row r="343" spans="1:5" ht="31.5" x14ac:dyDescent="0.2">
      <c r="A343" s="1" t="s">
        <v>706</v>
      </c>
      <c r="B343" s="8" t="s">
        <v>43</v>
      </c>
      <c r="C343" s="7" t="s">
        <v>305</v>
      </c>
      <c r="D343" s="8">
        <v>240</v>
      </c>
      <c r="E343" s="47">
        <v>2574.8000000000002</v>
      </c>
    </row>
    <row r="344" spans="1:5" ht="47.25" x14ac:dyDescent="0.2">
      <c r="A344" s="2" t="s">
        <v>682</v>
      </c>
      <c r="B344" s="8" t="s">
        <v>43</v>
      </c>
      <c r="C344" s="7" t="s">
        <v>305</v>
      </c>
      <c r="D344" s="8">
        <v>810</v>
      </c>
      <c r="E344" s="47">
        <v>2825.4</v>
      </c>
    </row>
    <row r="345" spans="1:5" ht="94.5" x14ac:dyDescent="0.2">
      <c r="A345" s="37" t="s">
        <v>1083</v>
      </c>
      <c r="B345" s="8" t="s">
        <v>43</v>
      </c>
      <c r="C345" s="7" t="s">
        <v>858</v>
      </c>
      <c r="D345" s="8"/>
      <c r="E345" s="47">
        <f>E346</f>
        <v>517769.9</v>
      </c>
    </row>
    <row r="346" spans="1:5" ht="47.25" x14ac:dyDescent="0.2">
      <c r="A346" s="2" t="s">
        <v>682</v>
      </c>
      <c r="B346" s="8" t="s">
        <v>43</v>
      </c>
      <c r="C346" s="7" t="s">
        <v>858</v>
      </c>
      <c r="D346" s="8">
        <v>810</v>
      </c>
      <c r="E346" s="47">
        <f>584338.9-66569</f>
        <v>517769.9</v>
      </c>
    </row>
    <row r="347" spans="1:5" ht="47.25" x14ac:dyDescent="0.2">
      <c r="A347" s="2" t="s">
        <v>145</v>
      </c>
      <c r="B347" s="8" t="s">
        <v>43</v>
      </c>
      <c r="C347" s="7" t="s">
        <v>298</v>
      </c>
      <c r="D347" s="8" t="s">
        <v>0</v>
      </c>
      <c r="E347" s="47">
        <f>E348+E353+E358+E363</f>
        <v>52082.600000000006</v>
      </c>
    </row>
    <row r="348" spans="1:5" ht="31.5" x14ac:dyDescent="0.2">
      <c r="A348" s="2" t="s">
        <v>162</v>
      </c>
      <c r="B348" s="8" t="s">
        <v>43</v>
      </c>
      <c r="C348" s="7" t="s">
        <v>299</v>
      </c>
      <c r="D348" s="8" t="s">
        <v>0</v>
      </c>
      <c r="E348" s="47">
        <f>E351+E349</f>
        <v>13783.199999999999</v>
      </c>
    </row>
    <row r="349" spans="1:5" ht="78.75" x14ac:dyDescent="0.2">
      <c r="A349" s="6" t="s">
        <v>303</v>
      </c>
      <c r="B349" s="8" t="s">
        <v>43</v>
      </c>
      <c r="C349" s="7" t="s">
        <v>1046</v>
      </c>
      <c r="D349" s="8"/>
      <c r="E349" s="47">
        <f>E350</f>
        <v>676.3</v>
      </c>
    </row>
    <row r="350" spans="1:5" ht="31.5" x14ac:dyDescent="0.2">
      <c r="A350" s="1" t="s">
        <v>706</v>
      </c>
      <c r="B350" s="8" t="s">
        <v>43</v>
      </c>
      <c r="C350" s="7" t="s">
        <v>1046</v>
      </c>
      <c r="D350" s="8">
        <v>240</v>
      </c>
      <c r="E350" s="47">
        <v>676.3</v>
      </c>
    </row>
    <row r="351" spans="1:5" ht="78.75" x14ac:dyDescent="0.2">
      <c r="A351" s="1" t="s">
        <v>743</v>
      </c>
      <c r="B351" s="8" t="s">
        <v>43</v>
      </c>
      <c r="C351" s="7" t="s">
        <v>342</v>
      </c>
      <c r="D351" s="8"/>
      <c r="E351" s="47">
        <f>E352</f>
        <v>13106.9</v>
      </c>
    </row>
    <row r="352" spans="1:5" ht="47.25" x14ac:dyDescent="0.2">
      <c r="A352" s="2" t="s">
        <v>682</v>
      </c>
      <c r="B352" s="8" t="s">
        <v>43</v>
      </c>
      <c r="C352" s="7" t="s">
        <v>342</v>
      </c>
      <c r="D352" s="8">
        <v>810</v>
      </c>
      <c r="E352" s="47">
        <f>12848.3+258.6</f>
        <v>13106.9</v>
      </c>
    </row>
    <row r="353" spans="1:6" x14ac:dyDescent="0.2">
      <c r="A353" s="2" t="s">
        <v>163</v>
      </c>
      <c r="B353" s="8" t="s">
        <v>43</v>
      </c>
      <c r="C353" s="7" t="s">
        <v>300</v>
      </c>
      <c r="D353" s="8" t="s">
        <v>0</v>
      </c>
      <c r="E353" s="47">
        <f>E354+E356</f>
        <v>13852.7</v>
      </c>
    </row>
    <row r="354" spans="1:6" ht="78.75" x14ac:dyDescent="0.2">
      <c r="A354" s="6" t="s">
        <v>303</v>
      </c>
      <c r="B354" s="8" t="s">
        <v>43</v>
      </c>
      <c r="C354" s="7" t="s">
        <v>815</v>
      </c>
      <c r="D354" s="8"/>
      <c r="E354" s="47">
        <f>E355</f>
        <v>2674.6</v>
      </c>
    </row>
    <row r="355" spans="1:6" ht="31.5" x14ac:dyDescent="0.2">
      <c r="A355" s="1" t="s">
        <v>706</v>
      </c>
      <c r="B355" s="8" t="s">
        <v>43</v>
      </c>
      <c r="C355" s="7" t="s">
        <v>815</v>
      </c>
      <c r="D355" s="8">
        <v>240</v>
      </c>
      <c r="E355" s="47">
        <f>1696.7+977.9</f>
        <v>2674.6</v>
      </c>
    </row>
    <row r="356" spans="1:6" ht="94.5" x14ac:dyDescent="0.2">
      <c r="A356" s="37" t="s">
        <v>1083</v>
      </c>
      <c r="B356" s="8" t="s">
        <v>43</v>
      </c>
      <c r="C356" s="7" t="s">
        <v>861</v>
      </c>
      <c r="D356" s="8"/>
      <c r="E356" s="47">
        <f>E357</f>
        <v>11178.1</v>
      </c>
    </row>
    <row r="357" spans="1:6" ht="47.25" x14ac:dyDescent="0.2">
      <c r="A357" s="2" t="s">
        <v>682</v>
      </c>
      <c r="B357" s="8" t="s">
        <v>43</v>
      </c>
      <c r="C357" s="7" t="s">
        <v>861</v>
      </c>
      <c r="D357" s="8">
        <v>810</v>
      </c>
      <c r="E357" s="47">
        <v>11178.1</v>
      </c>
    </row>
    <row r="358" spans="1:6" ht="47.25" x14ac:dyDescent="0.2">
      <c r="A358" s="2" t="s">
        <v>675</v>
      </c>
      <c r="B358" s="8" t="s">
        <v>43</v>
      </c>
      <c r="C358" s="7" t="s">
        <v>301</v>
      </c>
      <c r="D358" s="8" t="s">
        <v>0</v>
      </c>
      <c r="E358" s="47">
        <f>E359+E361</f>
        <v>3085.7</v>
      </c>
    </row>
    <row r="359" spans="1:6" ht="78.75" x14ac:dyDescent="0.2">
      <c r="A359" s="6" t="s">
        <v>303</v>
      </c>
      <c r="B359" s="8" t="s">
        <v>43</v>
      </c>
      <c r="C359" s="7" t="s">
        <v>816</v>
      </c>
      <c r="D359" s="8"/>
      <c r="E359" s="47">
        <f>E360</f>
        <v>549.70000000000005</v>
      </c>
    </row>
    <row r="360" spans="1:6" ht="31.5" x14ac:dyDescent="0.2">
      <c r="A360" s="1" t="s">
        <v>706</v>
      </c>
      <c r="B360" s="8" t="s">
        <v>43</v>
      </c>
      <c r="C360" s="7" t="s">
        <v>816</v>
      </c>
      <c r="D360" s="8">
        <v>240</v>
      </c>
      <c r="E360" s="47">
        <f>615.1-65.4</f>
        <v>549.70000000000005</v>
      </c>
    </row>
    <row r="361" spans="1:6" ht="94.5" x14ac:dyDescent="0.2">
      <c r="A361" s="37" t="s">
        <v>1083</v>
      </c>
      <c r="B361" s="8" t="s">
        <v>43</v>
      </c>
      <c r="C361" s="7" t="s">
        <v>862</v>
      </c>
      <c r="D361" s="8"/>
      <c r="E361" s="47">
        <f>E362</f>
        <v>2536</v>
      </c>
    </row>
    <row r="362" spans="1:6" ht="47.25" x14ac:dyDescent="0.2">
      <c r="A362" s="2" t="s">
        <v>682</v>
      </c>
      <c r="B362" s="8" t="s">
        <v>43</v>
      </c>
      <c r="C362" s="7" t="s">
        <v>862</v>
      </c>
      <c r="D362" s="8">
        <v>810</v>
      </c>
      <c r="E362" s="47">
        <v>2536</v>
      </c>
    </row>
    <row r="363" spans="1:6" ht="31.5" x14ac:dyDescent="0.2">
      <c r="A363" s="2" t="s">
        <v>164</v>
      </c>
      <c r="B363" s="8" t="s">
        <v>43</v>
      </c>
      <c r="C363" s="7" t="s">
        <v>732</v>
      </c>
      <c r="D363" s="8" t="s">
        <v>0</v>
      </c>
      <c r="E363" s="47">
        <f>E364+E366</f>
        <v>21361</v>
      </c>
    </row>
    <row r="364" spans="1:6" ht="78.75" x14ac:dyDescent="0.2">
      <c r="A364" s="6" t="s">
        <v>303</v>
      </c>
      <c r="B364" s="8" t="s">
        <v>43</v>
      </c>
      <c r="C364" s="7" t="s">
        <v>817</v>
      </c>
      <c r="D364" s="8"/>
      <c r="E364" s="47">
        <f>E365</f>
        <v>3681.2999999999997</v>
      </c>
    </row>
    <row r="365" spans="1:6" ht="31.5" x14ac:dyDescent="0.2">
      <c r="A365" s="1" t="s">
        <v>706</v>
      </c>
      <c r="B365" s="8" t="s">
        <v>43</v>
      </c>
      <c r="C365" s="7" t="s">
        <v>817</v>
      </c>
      <c r="D365" s="8">
        <v>240</v>
      </c>
      <c r="E365" s="47">
        <f>1583.6+2097.7</f>
        <v>3681.2999999999997</v>
      </c>
      <c r="F365" s="75"/>
    </row>
    <row r="366" spans="1:6" ht="94.5" x14ac:dyDescent="0.2">
      <c r="A366" s="37" t="s">
        <v>1083</v>
      </c>
      <c r="B366" s="8" t="s">
        <v>43</v>
      </c>
      <c r="C366" s="7" t="s">
        <v>863</v>
      </c>
      <c r="D366" s="8"/>
      <c r="E366" s="47">
        <f>E367</f>
        <v>17679.7</v>
      </c>
      <c r="F366" s="75"/>
    </row>
    <row r="367" spans="1:6" ht="47.25" x14ac:dyDescent="0.2">
      <c r="A367" s="2" t="s">
        <v>682</v>
      </c>
      <c r="B367" s="8" t="s">
        <v>43</v>
      </c>
      <c r="C367" s="7" t="s">
        <v>863</v>
      </c>
      <c r="D367" s="8">
        <v>810</v>
      </c>
      <c r="E367" s="47">
        <v>17679.7</v>
      </c>
      <c r="F367" s="75"/>
    </row>
    <row r="368" spans="1:6" ht="47.25" x14ac:dyDescent="0.2">
      <c r="A368" s="19" t="s">
        <v>165</v>
      </c>
      <c r="B368" s="8" t="s">
        <v>43</v>
      </c>
      <c r="C368" s="7" t="s">
        <v>269</v>
      </c>
      <c r="D368" s="8"/>
      <c r="E368" s="47">
        <f>E369+E378</f>
        <v>330405.8</v>
      </c>
    </row>
    <row r="369" spans="1:6" x14ac:dyDescent="0.2">
      <c r="A369" s="19" t="s">
        <v>166</v>
      </c>
      <c r="B369" s="8" t="s">
        <v>43</v>
      </c>
      <c r="C369" s="7" t="s">
        <v>270</v>
      </c>
      <c r="D369" s="8"/>
      <c r="E369" s="47">
        <f>E376+E372+E374+E370</f>
        <v>280405.8</v>
      </c>
    </row>
    <row r="370" spans="1:6" ht="31.5" x14ac:dyDescent="0.2">
      <c r="A370" s="39" t="s">
        <v>307</v>
      </c>
      <c r="B370" s="8" t="s">
        <v>43</v>
      </c>
      <c r="C370" s="7" t="s">
        <v>319</v>
      </c>
      <c r="D370" s="8"/>
      <c r="E370" s="47">
        <f>E371</f>
        <v>216234.3</v>
      </c>
    </row>
    <row r="371" spans="1:6" ht="31.5" x14ac:dyDescent="0.2">
      <c r="A371" s="1" t="s">
        <v>706</v>
      </c>
      <c r="B371" s="8" t="s">
        <v>43</v>
      </c>
      <c r="C371" s="7" t="s">
        <v>319</v>
      </c>
      <c r="D371" s="8">
        <v>240</v>
      </c>
      <c r="E371" s="47">
        <f>10000+96234.3+110000</f>
        <v>216234.3</v>
      </c>
      <c r="F371" s="63"/>
    </row>
    <row r="372" spans="1:6" ht="31.5" x14ac:dyDescent="0.2">
      <c r="A372" s="11" t="s">
        <v>1036</v>
      </c>
      <c r="B372" s="35" t="s">
        <v>43</v>
      </c>
      <c r="C372" s="36" t="s">
        <v>1039</v>
      </c>
      <c r="D372" s="8"/>
      <c r="E372" s="47">
        <f>E373</f>
        <v>0</v>
      </c>
      <c r="F372" s="75"/>
    </row>
    <row r="373" spans="1:6" ht="31.5" x14ac:dyDescent="0.2">
      <c r="A373" s="11" t="s">
        <v>706</v>
      </c>
      <c r="B373" s="35" t="s">
        <v>43</v>
      </c>
      <c r="C373" s="36" t="s">
        <v>1039</v>
      </c>
      <c r="D373" s="35">
        <v>240</v>
      </c>
      <c r="E373" s="194">
        <f>227918.2-227918.2</f>
        <v>0</v>
      </c>
      <c r="F373" s="63"/>
    </row>
    <row r="374" spans="1:6" ht="47.25" x14ac:dyDescent="0.2">
      <c r="A374" s="11" t="s">
        <v>818</v>
      </c>
      <c r="B374" s="35" t="s">
        <v>43</v>
      </c>
      <c r="C374" s="36" t="s">
        <v>819</v>
      </c>
      <c r="D374" s="8"/>
      <c r="E374" s="47">
        <f>E375</f>
        <v>0</v>
      </c>
      <c r="F374" s="75"/>
    </row>
    <row r="375" spans="1:6" ht="31.5" x14ac:dyDescent="0.2">
      <c r="A375" s="1" t="s">
        <v>706</v>
      </c>
      <c r="B375" s="35" t="s">
        <v>43</v>
      </c>
      <c r="C375" s="36" t="s">
        <v>819</v>
      </c>
      <c r="D375" s="35">
        <v>240</v>
      </c>
      <c r="E375" s="47">
        <f>326400+2302.2+5265.6-333967.8</f>
        <v>0</v>
      </c>
      <c r="F375" s="63"/>
    </row>
    <row r="376" spans="1:6" ht="94.5" x14ac:dyDescent="0.2">
      <c r="A376" s="37" t="s">
        <v>1083</v>
      </c>
      <c r="B376" s="8" t="s">
        <v>43</v>
      </c>
      <c r="C376" s="7" t="s">
        <v>321</v>
      </c>
      <c r="D376" s="8"/>
      <c r="E376" s="47">
        <f>E377</f>
        <v>64171.5</v>
      </c>
    </row>
    <row r="377" spans="1:6" ht="47.25" x14ac:dyDescent="0.2">
      <c r="A377" s="2" t="s">
        <v>682</v>
      </c>
      <c r="B377" s="8" t="s">
        <v>43</v>
      </c>
      <c r="C377" s="7" t="s">
        <v>321</v>
      </c>
      <c r="D377" s="8">
        <v>810</v>
      </c>
      <c r="E377" s="47">
        <v>64171.5</v>
      </c>
    </row>
    <row r="378" spans="1:6" ht="31.5" x14ac:dyDescent="0.2">
      <c r="A378" s="2" t="s">
        <v>192</v>
      </c>
      <c r="B378" s="8" t="s">
        <v>43</v>
      </c>
      <c r="C378" s="7" t="s">
        <v>308</v>
      </c>
      <c r="D378" s="8" t="s">
        <v>0</v>
      </c>
      <c r="E378" s="47">
        <f>E379</f>
        <v>50000</v>
      </c>
    </row>
    <row r="379" spans="1:6" ht="31.5" x14ac:dyDescent="0.2">
      <c r="A379" s="39" t="s">
        <v>307</v>
      </c>
      <c r="B379" s="8" t="s">
        <v>43</v>
      </c>
      <c r="C379" s="7" t="s">
        <v>309</v>
      </c>
      <c r="D379" s="8"/>
      <c r="E379" s="47">
        <f>E380</f>
        <v>50000</v>
      </c>
    </row>
    <row r="380" spans="1:6" ht="31.5" x14ac:dyDescent="0.2">
      <c r="A380" s="1" t="s">
        <v>706</v>
      </c>
      <c r="B380" s="8" t="s">
        <v>43</v>
      </c>
      <c r="C380" s="7" t="s">
        <v>309</v>
      </c>
      <c r="D380" s="8">
        <v>240</v>
      </c>
      <c r="E380" s="47">
        <v>50000</v>
      </c>
    </row>
    <row r="381" spans="1:6" ht="47.25" x14ac:dyDescent="0.2">
      <c r="A381" s="1" t="s">
        <v>176</v>
      </c>
      <c r="B381" s="8" t="s">
        <v>43</v>
      </c>
      <c r="C381" s="7" t="s">
        <v>271</v>
      </c>
      <c r="D381" s="8"/>
      <c r="E381" s="47">
        <f>E382</f>
        <v>261400</v>
      </c>
    </row>
    <row r="382" spans="1:6" ht="31.5" x14ac:dyDescent="0.2">
      <c r="A382" s="1" t="s">
        <v>1041</v>
      </c>
      <c r="B382" s="8" t="s">
        <v>43</v>
      </c>
      <c r="C382" s="7" t="s">
        <v>281</v>
      </c>
      <c r="D382" s="8"/>
      <c r="E382" s="47">
        <f>E383</f>
        <v>261400</v>
      </c>
    </row>
    <row r="383" spans="1:6" ht="47.25" x14ac:dyDescent="0.2">
      <c r="A383" s="1" t="s">
        <v>276</v>
      </c>
      <c r="B383" s="8" t="s">
        <v>43</v>
      </c>
      <c r="C383" s="7" t="s">
        <v>282</v>
      </c>
      <c r="D383" s="8"/>
      <c r="E383" s="47">
        <f>E384</f>
        <v>261400</v>
      </c>
    </row>
    <row r="384" spans="1:6" ht="47.25" x14ac:dyDescent="0.2">
      <c r="A384" s="1" t="s">
        <v>430</v>
      </c>
      <c r="B384" s="8" t="s">
        <v>43</v>
      </c>
      <c r="C384" s="7" t="s">
        <v>809</v>
      </c>
      <c r="D384" s="8"/>
      <c r="E384" s="47">
        <f>E385</f>
        <v>261400</v>
      </c>
    </row>
    <row r="385" spans="1:6" ht="31.5" x14ac:dyDescent="0.2">
      <c r="A385" s="1" t="s">
        <v>157</v>
      </c>
      <c r="B385" s="8" t="s">
        <v>43</v>
      </c>
      <c r="C385" s="7" t="s">
        <v>809</v>
      </c>
      <c r="D385" s="8">
        <v>414</v>
      </c>
      <c r="E385" s="47">
        <v>261400</v>
      </c>
    </row>
    <row r="386" spans="1:6" ht="31.5" x14ac:dyDescent="0.2">
      <c r="A386" s="2" t="s">
        <v>124</v>
      </c>
      <c r="B386" s="8" t="s">
        <v>43</v>
      </c>
      <c r="C386" s="7" t="s">
        <v>310</v>
      </c>
      <c r="D386" s="8" t="s">
        <v>0</v>
      </c>
      <c r="E386" s="47">
        <f>E387</f>
        <v>199</v>
      </c>
    </row>
    <row r="387" spans="1:6" x14ac:dyDescent="0.2">
      <c r="A387" s="2" t="s">
        <v>167</v>
      </c>
      <c r="B387" s="8" t="s">
        <v>43</v>
      </c>
      <c r="C387" s="7" t="s">
        <v>311</v>
      </c>
      <c r="D387" s="8" t="s">
        <v>0</v>
      </c>
      <c r="E387" s="47">
        <f>E388</f>
        <v>199</v>
      </c>
    </row>
    <row r="388" spans="1:6" ht="31.5" x14ac:dyDescent="0.2">
      <c r="A388" s="2" t="s">
        <v>168</v>
      </c>
      <c r="B388" s="8" t="s">
        <v>43</v>
      </c>
      <c r="C388" s="7" t="s">
        <v>312</v>
      </c>
      <c r="D388" s="8" t="s">
        <v>0</v>
      </c>
      <c r="E388" s="47">
        <f>E389</f>
        <v>199</v>
      </c>
    </row>
    <row r="389" spans="1:6" ht="78.75" x14ac:dyDescent="0.2">
      <c r="A389" s="1" t="s">
        <v>303</v>
      </c>
      <c r="B389" s="8" t="s">
        <v>43</v>
      </c>
      <c r="C389" s="7" t="s">
        <v>313</v>
      </c>
      <c r="D389" s="8"/>
      <c r="E389" s="47">
        <f>E390</f>
        <v>199</v>
      </c>
    </row>
    <row r="390" spans="1:6" ht="31.5" x14ac:dyDescent="0.2">
      <c r="A390" s="1" t="s">
        <v>706</v>
      </c>
      <c r="B390" s="8" t="s">
        <v>43</v>
      </c>
      <c r="C390" s="7" t="s">
        <v>313</v>
      </c>
      <c r="D390" s="8">
        <v>240</v>
      </c>
      <c r="E390" s="47">
        <v>199</v>
      </c>
    </row>
    <row r="391" spans="1:6" ht="47.25" x14ac:dyDescent="0.2">
      <c r="A391" s="1" t="s">
        <v>1059</v>
      </c>
      <c r="B391" s="8" t="s">
        <v>43</v>
      </c>
      <c r="C391" s="7" t="s">
        <v>1058</v>
      </c>
      <c r="D391" s="8"/>
      <c r="E391" s="47">
        <f>E392+E395</f>
        <v>437733.5</v>
      </c>
    </row>
    <row r="392" spans="1:6" ht="31.5" x14ac:dyDescent="0.2">
      <c r="A392" s="1" t="s">
        <v>906</v>
      </c>
      <c r="B392" s="8" t="s">
        <v>43</v>
      </c>
      <c r="C392" s="7" t="s">
        <v>1060</v>
      </c>
      <c r="D392" s="8"/>
      <c r="E392" s="47">
        <f>E393</f>
        <v>434733.5</v>
      </c>
    </row>
    <row r="393" spans="1:6" ht="31.5" x14ac:dyDescent="0.2">
      <c r="A393" s="1" t="s">
        <v>307</v>
      </c>
      <c r="B393" s="8" t="s">
        <v>43</v>
      </c>
      <c r="C393" s="7" t="s">
        <v>1057</v>
      </c>
      <c r="D393" s="8"/>
      <c r="E393" s="47">
        <f>E394</f>
        <v>434733.5</v>
      </c>
    </row>
    <row r="394" spans="1:6" ht="31.5" x14ac:dyDescent="0.2">
      <c r="A394" s="1" t="s">
        <v>706</v>
      </c>
      <c r="B394" s="8" t="s">
        <v>43</v>
      </c>
      <c r="C394" s="7" t="s">
        <v>1057</v>
      </c>
      <c r="D394" s="8">
        <v>240</v>
      </c>
      <c r="E394" s="47">
        <f>234733.5+200000</f>
        <v>434733.5</v>
      </c>
      <c r="F394" s="115"/>
    </row>
    <row r="395" spans="1:6" ht="63" x14ac:dyDescent="0.2">
      <c r="A395" s="2" t="s">
        <v>1062</v>
      </c>
      <c r="B395" s="8" t="s">
        <v>43</v>
      </c>
      <c r="C395" s="36" t="s">
        <v>1061</v>
      </c>
      <c r="D395" s="8"/>
      <c r="E395" s="47">
        <f>E396</f>
        <v>3000</v>
      </c>
      <c r="F395" s="122"/>
    </row>
    <row r="396" spans="1:6" ht="31.5" x14ac:dyDescent="0.2">
      <c r="A396" s="2" t="s">
        <v>706</v>
      </c>
      <c r="B396" s="8" t="s">
        <v>43</v>
      </c>
      <c r="C396" s="36" t="s">
        <v>1061</v>
      </c>
      <c r="D396" s="8">
        <v>240</v>
      </c>
      <c r="E396" s="47">
        <v>3000</v>
      </c>
      <c r="F396" s="122"/>
    </row>
    <row r="397" spans="1:6" x14ac:dyDescent="0.2">
      <c r="A397" s="17" t="s">
        <v>45</v>
      </c>
      <c r="B397" s="18" t="s">
        <v>46</v>
      </c>
      <c r="C397" s="15" t="s">
        <v>0</v>
      </c>
      <c r="D397" s="18" t="s">
        <v>0</v>
      </c>
      <c r="E397" s="182">
        <f>E398+E420+E424+E432+E466+E446+E480+E414</f>
        <v>309548.5</v>
      </c>
    </row>
    <row r="398" spans="1:6" ht="47.25" x14ac:dyDescent="0.2">
      <c r="A398" s="2" t="s">
        <v>169</v>
      </c>
      <c r="B398" s="8" t="s">
        <v>46</v>
      </c>
      <c r="C398" s="7" t="s">
        <v>398</v>
      </c>
      <c r="D398" s="8" t="s">
        <v>0</v>
      </c>
      <c r="E398" s="47">
        <f>E399+E404+E407+E410</f>
        <v>50702.2</v>
      </c>
    </row>
    <row r="399" spans="1:6" ht="47.25" x14ac:dyDescent="0.2">
      <c r="A399" s="19" t="s">
        <v>170</v>
      </c>
      <c r="B399" s="8" t="s">
        <v>46</v>
      </c>
      <c r="C399" s="7" t="s">
        <v>399</v>
      </c>
      <c r="D399" s="8" t="s">
        <v>0</v>
      </c>
      <c r="E399" s="47">
        <f>E401+E403</f>
        <v>10881.5</v>
      </c>
    </row>
    <row r="400" spans="1:6" ht="31.5" x14ac:dyDescent="0.2">
      <c r="A400" s="39" t="s">
        <v>307</v>
      </c>
      <c r="B400" s="8" t="s">
        <v>46</v>
      </c>
      <c r="C400" s="7" t="s">
        <v>400</v>
      </c>
      <c r="D400" s="8"/>
      <c r="E400" s="47">
        <f>E401</f>
        <v>3971.1</v>
      </c>
    </row>
    <row r="401" spans="1:7" ht="31.5" x14ac:dyDescent="0.2">
      <c r="A401" s="1" t="s">
        <v>706</v>
      </c>
      <c r="B401" s="8" t="s">
        <v>46</v>
      </c>
      <c r="C401" s="7" t="s">
        <v>400</v>
      </c>
      <c r="D401" s="8">
        <v>240</v>
      </c>
      <c r="E401" s="47">
        <v>3971.1</v>
      </c>
      <c r="F401" s="109"/>
      <c r="G401" s="46"/>
    </row>
    <row r="402" spans="1:7" ht="78.75" x14ac:dyDescent="0.2">
      <c r="A402" s="37" t="s">
        <v>950</v>
      </c>
      <c r="B402" s="35" t="s">
        <v>46</v>
      </c>
      <c r="C402" s="36" t="s">
        <v>796</v>
      </c>
      <c r="D402" s="35"/>
      <c r="E402" s="47">
        <f>E403</f>
        <v>6910.4</v>
      </c>
    </row>
    <row r="403" spans="1:7" ht="47.25" x14ac:dyDescent="0.2">
      <c r="A403" s="2" t="s">
        <v>682</v>
      </c>
      <c r="B403" s="35" t="s">
        <v>46</v>
      </c>
      <c r="C403" s="36" t="s">
        <v>796</v>
      </c>
      <c r="D403" s="35">
        <v>810</v>
      </c>
      <c r="E403" s="47">
        <f>4910.4+2000</f>
        <v>6910.4</v>
      </c>
      <c r="F403" s="108"/>
      <c r="G403" s="248"/>
    </row>
    <row r="404" spans="1:7" ht="31.5" x14ac:dyDescent="0.2">
      <c r="A404" s="19" t="s">
        <v>171</v>
      </c>
      <c r="B404" s="8" t="s">
        <v>46</v>
      </c>
      <c r="C404" s="7" t="s">
        <v>401</v>
      </c>
      <c r="D404" s="8" t="s">
        <v>0</v>
      </c>
      <c r="E404" s="47">
        <f>SUM(E405)</f>
        <v>793.6</v>
      </c>
    </row>
    <row r="405" spans="1:7" ht="31.5" x14ac:dyDescent="0.2">
      <c r="A405" s="39" t="s">
        <v>307</v>
      </c>
      <c r="B405" s="8" t="s">
        <v>46</v>
      </c>
      <c r="C405" s="7" t="s">
        <v>402</v>
      </c>
      <c r="D405" s="8"/>
      <c r="E405" s="47">
        <f>E406</f>
        <v>793.6</v>
      </c>
    </row>
    <row r="406" spans="1:7" ht="31.5" x14ac:dyDescent="0.2">
      <c r="A406" s="1" t="s">
        <v>706</v>
      </c>
      <c r="B406" s="8" t="s">
        <v>46</v>
      </c>
      <c r="C406" s="7" t="s">
        <v>402</v>
      </c>
      <c r="D406" s="8">
        <v>240</v>
      </c>
      <c r="E406" s="47">
        <v>793.6</v>
      </c>
      <c r="F406" s="58"/>
    </row>
    <row r="407" spans="1:7" ht="31.5" x14ac:dyDescent="0.2">
      <c r="A407" s="19" t="s">
        <v>172</v>
      </c>
      <c r="B407" s="8" t="s">
        <v>46</v>
      </c>
      <c r="C407" s="7" t="s">
        <v>403</v>
      </c>
      <c r="D407" s="8" t="s">
        <v>0</v>
      </c>
      <c r="E407" s="47">
        <f>SUM(E408)</f>
        <v>2721.1</v>
      </c>
    </row>
    <row r="408" spans="1:7" ht="31.5" x14ac:dyDescent="0.2">
      <c r="A408" s="39" t="s">
        <v>307</v>
      </c>
      <c r="B408" s="8" t="s">
        <v>46</v>
      </c>
      <c r="C408" s="7" t="s">
        <v>404</v>
      </c>
      <c r="D408" s="8"/>
      <c r="E408" s="47">
        <f>E409</f>
        <v>2721.1</v>
      </c>
    </row>
    <row r="409" spans="1:7" ht="31.5" x14ac:dyDescent="0.2">
      <c r="A409" s="1" t="s">
        <v>706</v>
      </c>
      <c r="B409" s="8" t="s">
        <v>46</v>
      </c>
      <c r="C409" s="7" t="s">
        <v>404</v>
      </c>
      <c r="D409" s="8">
        <v>240</v>
      </c>
      <c r="E409" s="47">
        <v>2721.1</v>
      </c>
    </row>
    <row r="410" spans="1:7" ht="47.25" x14ac:dyDescent="0.2">
      <c r="A410" s="19" t="s">
        <v>173</v>
      </c>
      <c r="B410" s="8" t="s">
        <v>46</v>
      </c>
      <c r="C410" s="7" t="s">
        <v>405</v>
      </c>
      <c r="D410" s="8" t="s">
        <v>0</v>
      </c>
      <c r="E410" s="47">
        <f>E411</f>
        <v>36306</v>
      </c>
    </row>
    <row r="411" spans="1:7" ht="31.5" x14ac:dyDescent="0.2">
      <c r="A411" s="39" t="s">
        <v>307</v>
      </c>
      <c r="B411" s="8" t="s">
        <v>46</v>
      </c>
      <c r="C411" s="7" t="s">
        <v>406</v>
      </c>
      <c r="D411" s="8"/>
      <c r="E411" s="47">
        <f>E412+E413</f>
        <v>36306</v>
      </c>
    </row>
    <row r="412" spans="1:7" ht="31.5" x14ac:dyDescent="0.2">
      <c r="A412" s="1" t="s">
        <v>706</v>
      </c>
      <c r="B412" s="8" t="s">
        <v>46</v>
      </c>
      <c r="C412" s="7" t="s">
        <v>406</v>
      </c>
      <c r="D412" s="8">
        <v>240</v>
      </c>
      <c r="E412" s="47">
        <v>135</v>
      </c>
      <c r="F412" s="58"/>
    </row>
    <row r="413" spans="1:7" x14ac:dyDescent="0.2">
      <c r="A413" s="19" t="s">
        <v>100</v>
      </c>
      <c r="B413" s="8" t="s">
        <v>46</v>
      </c>
      <c r="C413" s="7" t="s">
        <v>406</v>
      </c>
      <c r="D413" s="8">
        <v>360</v>
      </c>
      <c r="E413" s="47">
        <v>36171</v>
      </c>
    </row>
    <row r="414" spans="1:7" ht="47.25" x14ac:dyDescent="0.2">
      <c r="A414" s="19" t="s">
        <v>112</v>
      </c>
      <c r="B414" s="8" t="s">
        <v>46</v>
      </c>
      <c r="C414" s="7" t="s">
        <v>329</v>
      </c>
      <c r="D414" s="8" t="s">
        <v>0</v>
      </c>
      <c r="E414" s="47">
        <f>E415</f>
        <v>25</v>
      </c>
    </row>
    <row r="415" spans="1:7" x14ac:dyDescent="0.2">
      <c r="A415" s="19" t="s">
        <v>113</v>
      </c>
      <c r="B415" s="8" t="s">
        <v>46</v>
      </c>
      <c r="C415" s="7" t="s">
        <v>328</v>
      </c>
      <c r="D415" s="8" t="s">
        <v>0</v>
      </c>
      <c r="E415" s="47">
        <f>E416+E418</f>
        <v>25</v>
      </c>
    </row>
    <row r="416" spans="1:7" ht="31.5" x14ac:dyDescent="0.2">
      <c r="A416" s="11" t="s">
        <v>332</v>
      </c>
      <c r="B416" s="8" t="s">
        <v>46</v>
      </c>
      <c r="C416" s="7" t="s">
        <v>377</v>
      </c>
      <c r="D416" s="8"/>
      <c r="E416" s="47">
        <f>E417</f>
        <v>25</v>
      </c>
    </row>
    <row r="417" spans="1:7" ht="31.5" x14ac:dyDescent="0.2">
      <c r="A417" s="2" t="s">
        <v>710</v>
      </c>
      <c r="B417" s="8" t="s">
        <v>46</v>
      </c>
      <c r="C417" s="7" t="s">
        <v>377</v>
      </c>
      <c r="D417" s="8">
        <v>120</v>
      </c>
      <c r="E417" s="47">
        <v>25</v>
      </c>
    </row>
    <row r="418" spans="1:7" ht="31.5" x14ac:dyDescent="0.2">
      <c r="A418" s="10" t="s">
        <v>378</v>
      </c>
      <c r="B418" s="8" t="s">
        <v>46</v>
      </c>
      <c r="C418" s="7" t="s">
        <v>379</v>
      </c>
      <c r="D418" s="8"/>
      <c r="E418" s="47">
        <f>E419</f>
        <v>0</v>
      </c>
    </row>
    <row r="419" spans="1:7" ht="31.5" x14ac:dyDescent="0.2">
      <c r="A419" s="10" t="s">
        <v>706</v>
      </c>
      <c r="B419" s="8" t="s">
        <v>46</v>
      </c>
      <c r="C419" s="7" t="s">
        <v>379</v>
      </c>
      <c r="D419" s="8">
        <v>240</v>
      </c>
      <c r="E419" s="47">
        <f>25-25</f>
        <v>0</v>
      </c>
      <c r="F419" s="56"/>
    </row>
    <row r="420" spans="1:7" ht="47.25" x14ac:dyDescent="0.2">
      <c r="A420" s="2" t="s">
        <v>114</v>
      </c>
      <c r="B420" s="8" t="s">
        <v>46</v>
      </c>
      <c r="C420" s="7" t="s">
        <v>393</v>
      </c>
      <c r="D420" s="8" t="s">
        <v>0</v>
      </c>
      <c r="E420" s="47">
        <f>E421</f>
        <v>11450</v>
      </c>
    </row>
    <row r="421" spans="1:7" x14ac:dyDescent="0.2">
      <c r="A421" s="2" t="s">
        <v>174</v>
      </c>
      <c r="B421" s="8" t="s">
        <v>46</v>
      </c>
      <c r="C421" s="7" t="s">
        <v>407</v>
      </c>
      <c r="D421" s="8" t="s">
        <v>0</v>
      </c>
      <c r="E421" s="47">
        <f>E422</f>
        <v>11450</v>
      </c>
    </row>
    <row r="422" spans="1:7" x14ac:dyDescent="0.2">
      <c r="A422" s="2" t="s">
        <v>684</v>
      </c>
      <c r="B422" s="8" t="s">
        <v>46</v>
      </c>
      <c r="C422" s="7" t="s">
        <v>408</v>
      </c>
      <c r="D422" s="8"/>
      <c r="E422" s="47">
        <f>E423</f>
        <v>11450</v>
      </c>
    </row>
    <row r="423" spans="1:7" ht="47.25" x14ac:dyDescent="0.2">
      <c r="A423" s="2" t="s">
        <v>682</v>
      </c>
      <c r="B423" s="8" t="s">
        <v>46</v>
      </c>
      <c r="C423" s="7" t="s">
        <v>408</v>
      </c>
      <c r="D423" s="8" t="s">
        <v>37</v>
      </c>
      <c r="E423" s="47">
        <v>11450</v>
      </c>
      <c r="F423" s="59"/>
    </row>
    <row r="424" spans="1:7" ht="47.25" x14ac:dyDescent="0.2">
      <c r="A424" s="2" t="s">
        <v>115</v>
      </c>
      <c r="B424" s="33" t="s">
        <v>46</v>
      </c>
      <c r="C424" s="7" t="s">
        <v>394</v>
      </c>
      <c r="D424" s="8" t="s">
        <v>0</v>
      </c>
      <c r="E424" s="47">
        <f>E425</f>
        <v>16869</v>
      </c>
    </row>
    <row r="425" spans="1:7" ht="31.5" x14ac:dyDescent="0.2">
      <c r="A425" s="19" t="s">
        <v>175</v>
      </c>
      <c r="B425" s="33" t="s">
        <v>46</v>
      </c>
      <c r="C425" s="7" t="s">
        <v>409</v>
      </c>
      <c r="D425" s="8" t="s">
        <v>0</v>
      </c>
      <c r="E425" s="47">
        <f>E426+E430+E428</f>
        <v>16869</v>
      </c>
    </row>
    <row r="426" spans="1:7" ht="47.25" x14ac:dyDescent="0.2">
      <c r="A426" s="19" t="s">
        <v>1005</v>
      </c>
      <c r="B426" s="33" t="s">
        <v>46</v>
      </c>
      <c r="C426" s="7" t="s">
        <v>1009</v>
      </c>
      <c r="D426" s="8"/>
      <c r="E426" s="47">
        <f>E427</f>
        <v>10219</v>
      </c>
    </row>
    <row r="427" spans="1:7" ht="47.25" x14ac:dyDescent="0.2">
      <c r="A427" s="11" t="s">
        <v>682</v>
      </c>
      <c r="B427" s="33" t="s">
        <v>46</v>
      </c>
      <c r="C427" s="7" t="s">
        <v>1009</v>
      </c>
      <c r="D427" s="196" t="s">
        <v>37</v>
      </c>
      <c r="E427" s="47">
        <v>10219</v>
      </c>
    </row>
    <row r="428" spans="1:7" ht="47.25" x14ac:dyDescent="0.2">
      <c r="A428" s="19" t="s">
        <v>1010</v>
      </c>
      <c r="B428" s="33" t="s">
        <v>46</v>
      </c>
      <c r="C428" s="7" t="s">
        <v>1011</v>
      </c>
      <c r="D428" s="196"/>
      <c r="E428" s="47">
        <f>E429</f>
        <v>103.9</v>
      </c>
    </row>
    <row r="429" spans="1:7" ht="47.25" x14ac:dyDescent="0.2">
      <c r="A429" s="11" t="s">
        <v>682</v>
      </c>
      <c r="B429" s="33" t="s">
        <v>46</v>
      </c>
      <c r="C429" s="7" t="s">
        <v>1011</v>
      </c>
      <c r="D429" s="196">
        <v>810</v>
      </c>
      <c r="E429" s="47">
        <v>103.9</v>
      </c>
    </row>
    <row r="430" spans="1:7" ht="35.450000000000003" customHeight="1" x14ac:dyDescent="0.2">
      <c r="A430" s="19" t="s">
        <v>411</v>
      </c>
      <c r="B430" s="33" t="s">
        <v>46</v>
      </c>
      <c r="C430" s="7" t="s">
        <v>410</v>
      </c>
      <c r="D430" s="8"/>
      <c r="E430" s="47">
        <f>E431</f>
        <v>6546.1</v>
      </c>
    </row>
    <row r="431" spans="1:7" ht="47.25" x14ac:dyDescent="0.2">
      <c r="A431" s="2" t="s">
        <v>682</v>
      </c>
      <c r="B431" s="33" t="s">
        <v>46</v>
      </c>
      <c r="C431" s="7" t="s">
        <v>410</v>
      </c>
      <c r="D431" s="8" t="s">
        <v>37</v>
      </c>
      <c r="E431" s="47">
        <v>6546.1</v>
      </c>
      <c r="F431" s="58"/>
      <c r="G431" s="61"/>
    </row>
    <row r="432" spans="1:7" ht="47.25" x14ac:dyDescent="0.2">
      <c r="A432" s="2" t="s">
        <v>176</v>
      </c>
      <c r="B432" s="8" t="s">
        <v>46</v>
      </c>
      <c r="C432" s="7" t="s">
        <v>271</v>
      </c>
      <c r="D432" s="8" t="s">
        <v>0</v>
      </c>
      <c r="E432" s="47">
        <f>E436+E433</f>
        <v>124708.6</v>
      </c>
    </row>
    <row r="433" spans="1:7" ht="54" customHeight="1" x14ac:dyDescent="0.2">
      <c r="A433" s="11" t="s">
        <v>764</v>
      </c>
      <c r="B433" s="7" t="s">
        <v>46</v>
      </c>
      <c r="C433" s="7" t="s">
        <v>763</v>
      </c>
      <c r="D433" s="8"/>
      <c r="E433" s="47">
        <f>E434</f>
        <v>1500</v>
      </c>
    </row>
    <row r="434" spans="1:7" ht="30.75" customHeight="1" x14ac:dyDescent="0.2">
      <c r="A434" s="39" t="s">
        <v>307</v>
      </c>
      <c r="B434" s="7" t="s">
        <v>46</v>
      </c>
      <c r="C434" s="7" t="s">
        <v>765</v>
      </c>
      <c r="D434" s="8"/>
      <c r="E434" s="47">
        <f>E435</f>
        <v>1500</v>
      </c>
    </row>
    <row r="435" spans="1:7" ht="30.75" customHeight="1" x14ac:dyDescent="0.2">
      <c r="A435" s="1" t="s">
        <v>706</v>
      </c>
      <c r="B435" s="7" t="s">
        <v>46</v>
      </c>
      <c r="C435" s="7" t="s">
        <v>765</v>
      </c>
      <c r="D435" s="8">
        <v>240</v>
      </c>
      <c r="E435" s="47">
        <v>1500</v>
      </c>
      <c r="F435" s="116"/>
    </row>
    <row r="436" spans="1:7" ht="31.5" x14ac:dyDescent="0.2">
      <c r="A436" s="2" t="s">
        <v>258</v>
      </c>
      <c r="B436" s="8" t="s">
        <v>46</v>
      </c>
      <c r="C436" s="7" t="s">
        <v>472</v>
      </c>
      <c r="D436" s="8" t="s">
        <v>0</v>
      </c>
      <c r="E436" s="47">
        <f>E437+E442+E445</f>
        <v>123208.6</v>
      </c>
    </row>
    <row r="437" spans="1:7" ht="31.5" x14ac:dyDescent="0.2">
      <c r="A437" s="2" t="s">
        <v>178</v>
      </c>
      <c r="B437" s="8" t="s">
        <v>46</v>
      </c>
      <c r="C437" s="7" t="s">
        <v>473</v>
      </c>
      <c r="D437" s="8" t="s">
        <v>0</v>
      </c>
      <c r="E437" s="47">
        <f>E438</f>
        <v>105449.2</v>
      </c>
    </row>
    <row r="438" spans="1:7" ht="31.5" x14ac:dyDescent="0.2">
      <c r="A438" s="39" t="s">
        <v>307</v>
      </c>
      <c r="B438" s="8" t="s">
        <v>46</v>
      </c>
      <c r="C438" s="7" t="s">
        <v>474</v>
      </c>
      <c r="D438" s="8"/>
      <c r="E438" s="47">
        <f>E439</f>
        <v>105449.2</v>
      </c>
    </row>
    <row r="439" spans="1:7" ht="31.5" x14ac:dyDescent="0.2">
      <c r="A439" s="1" t="s">
        <v>706</v>
      </c>
      <c r="B439" s="8" t="s">
        <v>46</v>
      </c>
      <c r="C439" s="7" t="s">
        <v>474</v>
      </c>
      <c r="D439" s="8">
        <v>240</v>
      </c>
      <c r="E439" s="47">
        <v>105449.2</v>
      </c>
      <c r="F439" s="108"/>
    </row>
    <row r="440" spans="1:7" x14ac:dyDescent="0.2">
      <c r="A440" s="2" t="s">
        <v>179</v>
      </c>
      <c r="B440" s="8" t="s">
        <v>46</v>
      </c>
      <c r="C440" s="7" t="s">
        <v>503</v>
      </c>
      <c r="D440" s="8" t="s">
        <v>0</v>
      </c>
      <c r="E440" s="47">
        <f>E441</f>
        <v>10</v>
      </c>
    </row>
    <row r="441" spans="1:7" ht="31.5" x14ac:dyDescent="0.2">
      <c r="A441" s="39" t="s">
        <v>307</v>
      </c>
      <c r="B441" s="8" t="s">
        <v>46</v>
      </c>
      <c r="C441" s="7" t="s">
        <v>504</v>
      </c>
      <c r="D441" s="8"/>
      <c r="E441" s="47">
        <f>E442</f>
        <v>10</v>
      </c>
    </row>
    <row r="442" spans="1:7" ht="31.5" x14ac:dyDescent="0.2">
      <c r="A442" s="1" t="s">
        <v>706</v>
      </c>
      <c r="B442" s="8" t="s">
        <v>46</v>
      </c>
      <c r="C442" s="7" t="s">
        <v>504</v>
      </c>
      <c r="D442" s="8">
        <v>240</v>
      </c>
      <c r="E442" s="47">
        <v>10</v>
      </c>
      <c r="F442" s="116"/>
    </row>
    <row r="443" spans="1:7" ht="47.25" x14ac:dyDescent="0.2">
      <c r="A443" s="2" t="s">
        <v>262</v>
      </c>
      <c r="B443" s="8" t="s">
        <v>46</v>
      </c>
      <c r="C443" s="7" t="s">
        <v>513</v>
      </c>
      <c r="D443" s="8" t="s">
        <v>0</v>
      </c>
      <c r="E443" s="47">
        <f>E444</f>
        <v>17749.400000000001</v>
      </c>
    </row>
    <row r="444" spans="1:7" ht="78.75" x14ac:dyDescent="0.2">
      <c r="A444" s="39" t="s">
        <v>801</v>
      </c>
      <c r="B444" s="52" t="s">
        <v>46</v>
      </c>
      <c r="C444" s="36" t="s">
        <v>922</v>
      </c>
      <c r="D444" s="35"/>
      <c r="E444" s="47">
        <f>E445</f>
        <v>17749.400000000001</v>
      </c>
      <c r="F444" s="108"/>
    </row>
    <row r="445" spans="1:7" ht="47.25" x14ac:dyDescent="0.2">
      <c r="A445" s="2" t="s">
        <v>682</v>
      </c>
      <c r="B445" s="52" t="s">
        <v>46</v>
      </c>
      <c r="C445" s="36" t="s">
        <v>922</v>
      </c>
      <c r="D445" s="35">
        <v>810</v>
      </c>
      <c r="E445" s="47">
        <f>11749.4+6000</f>
        <v>17749.400000000001</v>
      </c>
      <c r="F445" s="108"/>
      <c r="G445" s="248"/>
    </row>
    <row r="446" spans="1:7" ht="31.5" x14ac:dyDescent="0.2">
      <c r="A446" s="39" t="s">
        <v>844</v>
      </c>
      <c r="B446" s="36" t="s">
        <v>46</v>
      </c>
      <c r="C446" s="36" t="s">
        <v>845</v>
      </c>
      <c r="D446" s="35"/>
      <c r="E446" s="47">
        <f>E447+E454+E463</f>
        <v>9200</v>
      </c>
      <c r="F446" s="63"/>
    </row>
    <row r="447" spans="1:7" x14ac:dyDescent="0.2">
      <c r="A447" s="39" t="s">
        <v>846</v>
      </c>
      <c r="B447" s="36" t="s">
        <v>46</v>
      </c>
      <c r="C447" s="36" t="s">
        <v>847</v>
      </c>
      <c r="D447" s="35"/>
      <c r="E447" s="47">
        <f>E448+E450+E452</f>
        <v>7820</v>
      </c>
      <c r="F447" s="63"/>
    </row>
    <row r="448" spans="1:7" ht="31.5" x14ac:dyDescent="0.2">
      <c r="A448" s="39" t="s">
        <v>307</v>
      </c>
      <c r="B448" s="36" t="s">
        <v>46</v>
      </c>
      <c r="C448" s="36" t="s">
        <v>848</v>
      </c>
      <c r="D448" s="35"/>
      <c r="E448" s="47">
        <f>E449</f>
        <v>749.3</v>
      </c>
      <c r="F448" s="63"/>
    </row>
    <row r="449" spans="1:8" ht="31.5" x14ac:dyDescent="0.2">
      <c r="A449" s="1" t="s">
        <v>706</v>
      </c>
      <c r="B449" s="36" t="s">
        <v>46</v>
      </c>
      <c r="C449" s="36" t="s">
        <v>848</v>
      </c>
      <c r="D449" s="35">
        <v>240</v>
      </c>
      <c r="E449" s="47">
        <f>820-70.7</f>
        <v>749.3</v>
      </c>
      <c r="F449" s="238"/>
      <c r="G449" s="249"/>
      <c r="H449" s="249"/>
    </row>
    <row r="450" spans="1:8" ht="31.5" x14ac:dyDescent="0.2">
      <c r="A450" s="11" t="s">
        <v>1030</v>
      </c>
      <c r="B450" s="197" t="s">
        <v>46</v>
      </c>
      <c r="C450" s="36" t="s">
        <v>1029</v>
      </c>
      <c r="D450" s="196"/>
      <c r="E450" s="194">
        <f>E451</f>
        <v>7000</v>
      </c>
      <c r="F450" s="113"/>
    </row>
    <row r="451" spans="1:8" ht="31.5" x14ac:dyDescent="0.2">
      <c r="A451" s="11" t="s">
        <v>706</v>
      </c>
      <c r="B451" s="197" t="s">
        <v>46</v>
      </c>
      <c r="C451" s="36" t="s">
        <v>1029</v>
      </c>
      <c r="D451" s="196">
        <v>240</v>
      </c>
      <c r="E451" s="194">
        <v>7000</v>
      </c>
      <c r="F451" s="113"/>
    </row>
    <row r="452" spans="1:8" ht="47.25" x14ac:dyDescent="0.2">
      <c r="A452" s="11" t="s">
        <v>1072</v>
      </c>
      <c r="B452" s="197" t="s">
        <v>46</v>
      </c>
      <c r="C452" s="197" t="s">
        <v>1073</v>
      </c>
      <c r="D452" s="196"/>
      <c r="E452" s="201">
        <f>E453</f>
        <v>70.7</v>
      </c>
      <c r="F452" s="113"/>
    </row>
    <row r="453" spans="1:8" ht="31.5" x14ac:dyDescent="0.2">
      <c r="A453" s="11" t="s">
        <v>706</v>
      </c>
      <c r="B453" s="197" t="s">
        <v>46</v>
      </c>
      <c r="C453" s="197" t="s">
        <v>1073</v>
      </c>
      <c r="D453" s="196">
        <v>240</v>
      </c>
      <c r="E453" s="201">
        <v>70.7</v>
      </c>
      <c r="F453" s="238"/>
      <c r="G453" s="249"/>
      <c r="H453" s="249"/>
    </row>
    <row r="454" spans="1:8" ht="31.5" x14ac:dyDescent="0.2">
      <c r="A454" s="11" t="s">
        <v>849</v>
      </c>
      <c r="B454" s="36" t="s">
        <v>46</v>
      </c>
      <c r="C454" s="36" t="s">
        <v>850</v>
      </c>
      <c r="D454" s="35"/>
      <c r="E454" s="47">
        <f>E455+E457+E459+E461</f>
        <v>785.5</v>
      </c>
      <c r="F454" s="63"/>
    </row>
    <row r="455" spans="1:8" ht="31.5" x14ac:dyDescent="0.2">
      <c r="A455" s="40" t="s">
        <v>302</v>
      </c>
      <c r="B455" s="36" t="s">
        <v>46</v>
      </c>
      <c r="C455" s="36" t="s">
        <v>855</v>
      </c>
      <c r="D455" s="35"/>
      <c r="E455" s="47">
        <f>E456</f>
        <v>200</v>
      </c>
      <c r="F455" s="63"/>
    </row>
    <row r="456" spans="1:8" x14ac:dyDescent="0.2">
      <c r="A456" s="2" t="s">
        <v>945</v>
      </c>
      <c r="B456" s="36" t="s">
        <v>46</v>
      </c>
      <c r="C456" s="36" t="s">
        <v>855</v>
      </c>
      <c r="D456" s="8">
        <v>620</v>
      </c>
      <c r="E456" s="47">
        <f>200</f>
        <v>200</v>
      </c>
      <c r="F456" s="63"/>
    </row>
    <row r="457" spans="1:8" ht="31.5" x14ac:dyDescent="0.2">
      <c r="A457" s="39" t="s">
        <v>307</v>
      </c>
      <c r="B457" s="36" t="s">
        <v>46</v>
      </c>
      <c r="C457" s="36" t="s">
        <v>851</v>
      </c>
      <c r="D457" s="35"/>
      <c r="E457" s="47">
        <f>E458</f>
        <v>35.5</v>
      </c>
      <c r="F457" s="63"/>
    </row>
    <row r="458" spans="1:8" ht="31.5" x14ac:dyDescent="0.2">
      <c r="A458" s="1" t="s">
        <v>706</v>
      </c>
      <c r="B458" s="36" t="s">
        <v>46</v>
      </c>
      <c r="C458" s="36" t="s">
        <v>851</v>
      </c>
      <c r="D458" s="35">
        <v>240</v>
      </c>
      <c r="E458" s="47">
        <v>35.5</v>
      </c>
      <c r="F458" s="63"/>
    </row>
    <row r="459" spans="1:8" ht="31.5" x14ac:dyDescent="0.2">
      <c r="A459" s="37" t="s">
        <v>923</v>
      </c>
      <c r="B459" s="36" t="s">
        <v>46</v>
      </c>
      <c r="C459" s="36" t="s">
        <v>924</v>
      </c>
      <c r="D459" s="35"/>
      <c r="E459" s="47">
        <f>E460</f>
        <v>350</v>
      </c>
      <c r="F459" s="144"/>
    </row>
    <row r="460" spans="1:8" ht="47.25" x14ac:dyDescent="0.2">
      <c r="A460" s="2" t="s">
        <v>682</v>
      </c>
      <c r="B460" s="36" t="s">
        <v>46</v>
      </c>
      <c r="C460" s="36" t="s">
        <v>924</v>
      </c>
      <c r="D460" s="35">
        <v>810</v>
      </c>
      <c r="E460" s="47">
        <v>350</v>
      </c>
      <c r="F460" s="63"/>
    </row>
    <row r="461" spans="1:8" x14ac:dyDescent="0.2">
      <c r="A461" s="184" t="s">
        <v>886</v>
      </c>
      <c r="B461" s="7" t="s">
        <v>46</v>
      </c>
      <c r="C461" s="7" t="s">
        <v>964</v>
      </c>
      <c r="D461" s="8"/>
      <c r="E461" s="47">
        <f>E462</f>
        <v>200</v>
      </c>
      <c r="F461" s="63"/>
    </row>
    <row r="462" spans="1:8" x14ac:dyDescent="0.2">
      <c r="A462" s="184" t="s">
        <v>22</v>
      </c>
      <c r="B462" s="7" t="s">
        <v>46</v>
      </c>
      <c r="C462" s="7" t="s">
        <v>964</v>
      </c>
      <c r="D462" s="8">
        <v>350</v>
      </c>
      <c r="E462" s="47">
        <v>200</v>
      </c>
      <c r="F462" s="63"/>
    </row>
    <row r="463" spans="1:8" ht="31.5" x14ac:dyDescent="0.2">
      <c r="A463" s="11" t="s">
        <v>852</v>
      </c>
      <c r="B463" s="36" t="s">
        <v>46</v>
      </c>
      <c r="C463" s="36" t="s">
        <v>853</v>
      </c>
      <c r="D463" s="35"/>
      <c r="E463" s="47">
        <f>E464</f>
        <v>594.5</v>
      </c>
      <c r="F463" s="63"/>
    </row>
    <row r="464" spans="1:8" ht="31.5" x14ac:dyDescent="0.2">
      <c r="A464" s="39" t="s">
        <v>307</v>
      </c>
      <c r="B464" s="36" t="s">
        <v>46</v>
      </c>
      <c r="C464" s="36" t="s">
        <v>854</v>
      </c>
      <c r="D464" s="35"/>
      <c r="E464" s="47">
        <f>E465</f>
        <v>594.5</v>
      </c>
      <c r="F464" s="63"/>
    </row>
    <row r="465" spans="1:7" ht="31.5" x14ac:dyDescent="0.2">
      <c r="A465" s="1" t="s">
        <v>706</v>
      </c>
      <c r="B465" s="52" t="s">
        <v>46</v>
      </c>
      <c r="C465" s="52" t="s">
        <v>854</v>
      </c>
      <c r="D465" s="52">
        <v>240</v>
      </c>
      <c r="E465" s="47">
        <v>594.5</v>
      </c>
      <c r="F465" s="113"/>
    </row>
    <row r="466" spans="1:7" ht="47.25" x14ac:dyDescent="0.2">
      <c r="A466" s="2" t="s">
        <v>180</v>
      </c>
      <c r="B466" s="7" t="s">
        <v>46</v>
      </c>
      <c r="C466" s="7" t="s">
        <v>326</v>
      </c>
      <c r="D466" s="7" t="s">
        <v>0</v>
      </c>
      <c r="E466" s="47">
        <f>E476+E470+E468+E473</f>
        <v>15328.2</v>
      </c>
    </row>
    <row r="467" spans="1:7" ht="31.5" x14ac:dyDescent="0.2">
      <c r="A467" s="2" t="s">
        <v>953</v>
      </c>
      <c r="B467" s="7" t="s">
        <v>46</v>
      </c>
      <c r="C467" s="7" t="s">
        <v>951</v>
      </c>
      <c r="D467" s="7"/>
      <c r="E467" s="47">
        <f>E468</f>
        <v>3000</v>
      </c>
    </row>
    <row r="468" spans="1:7" ht="31.5" x14ac:dyDescent="0.2">
      <c r="A468" s="39" t="s">
        <v>307</v>
      </c>
      <c r="B468" s="7" t="s">
        <v>46</v>
      </c>
      <c r="C468" s="7" t="s">
        <v>952</v>
      </c>
      <c r="D468" s="7"/>
      <c r="E468" s="47">
        <f>E469</f>
        <v>3000</v>
      </c>
    </row>
    <row r="469" spans="1:7" ht="31.5" x14ac:dyDescent="0.2">
      <c r="A469" s="1" t="s">
        <v>706</v>
      </c>
      <c r="B469" s="7" t="s">
        <v>46</v>
      </c>
      <c r="C469" s="7" t="s">
        <v>952</v>
      </c>
      <c r="D469" s="7" t="s">
        <v>707</v>
      </c>
      <c r="E469" s="47">
        <v>3000</v>
      </c>
      <c r="F469" s="116"/>
    </row>
    <row r="470" spans="1:7" ht="47.25" x14ac:dyDescent="0.2">
      <c r="A470" s="37" t="s">
        <v>889</v>
      </c>
      <c r="B470" s="36" t="s">
        <v>46</v>
      </c>
      <c r="C470" s="36" t="s">
        <v>890</v>
      </c>
      <c r="D470" s="35"/>
      <c r="E470" s="47">
        <f>E471</f>
        <v>1400</v>
      </c>
      <c r="F470" s="57"/>
    </row>
    <row r="471" spans="1:7" ht="31.5" x14ac:dyDescent="0.2">
      <c r="A471" s="39" t="s">
        <v>307</v>
      </c>
      <c r="B471" s="36" t="s">
        <v>46</v>
      </c>
      <c r="C471" s="36" t="s">
        <v>891</v>
      </c>
      <c r="D471" s="35"/>
      <c r="E471" s="47">
        <f>E472</f>
        <v>1400</v>
      </c>
      <c r="F471" s="57"/>
    </row>
    <row r="472" spans="1:7" ht="31.5" x14ac:dyDescent="0.2">
      <c r="A472" s="1" t="s">
        <v>706</v>
      </c>
      <c r="B472" s="36" t="s">
        <v>46</v>
      </c>
      <c r="C472" s="36" t="s">
        <v>891</v>
      </c>
      <c r="D472" s="35">
        <v>240</v>
      </c>
      <c r="E472" s="47">
        <v>1400</v>
      </c>
      <c r="F472" s="90"/>
    </row>
    <row r="473" spans="1:7" s="181" customFormat="1" ht="63" x14ac:dyDescent="0.2">
      <c r="A473" s="37" t="s">
        <v>1085</v>
      </c>
      <c r="B473" s="36" t="s">
        <v>46</v>
      </c>
      <c r="C473" s="36" t="s">
        <v>954</v>
      </c>
      <c r="D473" s="35"/>
      <c r="E473" s="47">
        <f>E474</f>
        <v>1000</v>
      </c>
      <c r="F473" s="180"/>
    </row>
    <row r="474" spans="1:7" ht="31.5" x14ac:dyDescent="0.2">
      <c r="A474" s="39" t="s">
        <v>307</v>
      </c>
      <c r="B474" s="36" t="s">
        <v>46</v>
      </c>
      <c r="C474" s="36" t="s">
        <v>955</v>
      </c>
      <c r="D474" s="35"/>
      <c r="E474" s="47">
        <f>E475</f>
        <v>1000</v>
      </c>
      <c r="F474" s="90"/>
    </row>
    <row r="475" spans="1:7" ht="31.5" x14ac:dyDescent="0.2">
      <c r="A475" s="1" t="s">
        <v>706</v>
      </c>
      <c r="B475" s="36" t="s">
        <v>46</v>
      </c>
      <c r="C475" s="36" t="s">
        <v>955</v>
      </c>
      <c r="D475" s="35">
        <v>240</v>
      </c>
      <c r="E475" s="47">
        <v>1000</v>
      </c>
      <c r="F475" s="90"/>
    </row>
    <row r="476" spans="1:7" ht="47.25" x14ac:dyDescent="0.2">
      <c r="A476" s="37" t="s">
        <v>797</v>
      </c>
      <c r="B476" s="8" t="s">
        <v>46</v>
      </c>
      <c r="C476" s="36" t="s">
        <v>327</v>
      </c>
      <c r="D476" s="35"/>
      <c r="E476" s="47">
        <f>E477</f>
        <v>9928.2000000000007</v>
      </c>
    </row>
    <row r="477" spans="1:7" ht="47.25" x14ac:dyDescent="0.2">
      <c r="A477" s="5" t="s">
        <v>798</v>
      </c>
      <c r="B477" s="8" t="s">
        <v>46</v>
      </c>
      <c r="C477" s="36" t="s">
        <v>799</v>
      </c>
      <c r="D477" s="35"/>
      <c r="E477" s="47">
        <f>E479</f>
        <v>9928.2000000000007</v>
      </c>
    </row>
    <row r="478" spans="1:7" ht="78.75" x14ac:dyDescent="0.2">
      <c r="A478" s="37" t="s">
        <v>950</v>
      </c>
      <c r="B478" s="8" t="s">
        <v>46</v>
      </c>
      <c r="C478" s="36" t="s">
        <v>800</v>
      </c>
      <c r="D478" s="35"/>
      <c r="E478" s="47">
        <f>E479</f>
        <v>9928.2000000000007</v>
      </c>
    </row>
    <row r="479" spans="1:7" ht="47.25" x14ac:dyDescent="0.2">
      <c r="A479" s="2" t="s">
        <v>682</v>
      </c>
      <c r="B479" s="8" t="s">
        <v>46</v>
      </c>
      <c r="C479" s="36" t="s">
        <v>800</v>
      </c>
      <c r="D479" s="35">
        <v>810</v>
      </c>
      <c r="E479" s="47">
        <f>7928.2+2000</f>
        <v>9928.2000000000007</v>
      </c>
      <c r="F479" s="108"/>
      <c r="G479" s="248"/>
    </row>
    <row r="480" spans="1:7" ht="31.5" x14ac:dyDescent="0.2">
      <c r="A480" s="32" t="s">
        <v>110</v>
      </c>
      <c r="B480" s="35" t="s">
        <v>46</v>
      </c>
      <c r="C480" s="47" t="s">
        <v>344</v>
      </c>
      <c r="D480" s="36"/>
      <c r="E480" s="47">
        <f>E481</f>
        <v>81265.5</v>
      </c>
      <c r="F480" s="63"/>
    </row>
    <row r="481" spans="1:6" ht="31.5" x14ac:dyDescent="0.2">
      <c r="A481" s="32" t="s">
        <v>495</v>
      </c>
      <c r="B481" s="83">
        <v>412</v>
      </c>
      <c r="C481" s="47" t="s">
        <v>492</v>
      </c>
      <c r="D481" s="36"/>
      <c r="E481" s="47">
        <f>E482</f>
        <v>81265.5</v>
      </c>
      <c r="F481" s="63"/>
    </row>
    <row r="482" spans="1:6" x14ac:dyDescent="0.2">
      <c r="A482" s="34" t="s">
        <v>9</v>
      </c>
      <c r="B482" s="83">
        <v>412</v>
      </c>
      <c r="C482" s="47" t="s">
        <v>493</v>
      </c>
      <c r="D482" s="36"/>
      <c r="E482" s="47">
        <f>E483</f>
        <v>81265.5</v>
      </c>
      <c r="F482" s="63"/>
    </row>
    <row r="483" spans="1:6" x14ac:dyDescent="0.2">
      <c r="A483" s="32" t="s">
        <v>749</v>
      </c>
      <c r="B483" s="83">
        <v>412</v>
      </c>
      <c r="C483" s="47" t="s">
        <v>494</v>
      </c>
      <c r="D483" s="36"/>
      <c r="E483" s="47">
        <f>E484</f>
        <v>81265.5</v>
      </c>
      <c r="F483" s="63"/>
    </row>
    <row r="484" spans="1:6" ht="31.5" x14ac:dyDescent="0.2">
      <c r="A484" s="2" t="s">
        <v>710</v>
      </c>
      <c r="B484" s="83">
        <v>412</v>
      </c>
      <c r="C484" s="47" t="s">
        <v>494</v>
      </c>
      <c r="D484" s="36">
        <v>120</v>
      </c>
      <c r="E484" s="47">
        <f>73118.5+1510.1+6636.9</f>
        <v>81265.5</v>
      </c>
      <c r="F484" s="105"/>
    </row>
    <row r="485" spans="1:6" x14ac:dyDescent="0.2">
      <c r="A485" s="16" t="s">
        <v>47</v>
      </c>
      <c r="B485" s="224" t="s">
        <v>48</v>
      </c>
      <c r="C485" s="224" t="s">
        <v>0</v>
      </c>
      <c r="D485" s="224" t="s">
        <v>0</v>
      </c>
      <c r="E485" s="225">
        <f>E486+E556+E610+E662</f>
        <v>3949768.8</v>
      </c>
    </row>
    <row r="486" spans="1:6" x14ac:dyDescent="0.2">
      <c r="A486" s="17" t="s">
        <v>49</v>
      </c>
      <c r="B486" s="18" t="s">
        <v>50</v>
      </c>
      <c r="C486" s="15" t="s">
        <v>0</v>
      </c>
      <c r="D486" s="18" t="s">
        <v>0</v>
      </c>
      <c r="E486" s="182">
        <f>E487+E494+E498+E525</f>
        <v>1104433.5</v>
      </c>
    </row>
    <row r="487" spans="1:6" s="86" customFormat="1" ht="47.25" x14ac:dyDescent="0.2">
      <c r="A487" s="11" t="s">
        <v>169</v>
      </c>
      <c r="B487" s="206" t="s">
        <v>50</v>
      </c>
      <c r="C487" s="207" t="s">
        <v>398</v>
      </c>
      <c r="D487" s="206" t="s">
        <v>0</v>
      </c>
      <c r="E487" s="198">
        <f>E488+E491</f>
        <v>900</v>
      </c>
      <c r="F487" s="118"/>
    </row>
    <row r="488" spans="1:6" s="86" customFormat="1" ht="47.25" x14ac:dyDescent="0.2">
      <c r="A488" s="39" t="s">
        <v>170</v>
      </c>
      <c r="B488" s="206" t="s">
        <v>50</v>
      </c>
      <c r="C488" s="197" t="s">
        <v>399</v>
      </c>
      <c r="D488" s="206"/>
      <c r="E488" s="198">
        <f>E489</f>
        <v>100</v>
      </c>
      <c r="F488" s="118"/>
    </row>
    <row r="489" spans="1:6" s="86" customFormat="1" ht="31.5" x14ac:dyDescent="0.2">
      <c r="A489" s="39" t="s">
        <v>307</v>
      </c>
      <c r="B489" s="206" t="s">
        <v>50</v>
      </c>
      <c r="C489" s="197" t="s">
        <v>400</v>
      </c>
      <c r="D489" s="206"/>
      <c r="E489" s="198">
        <f>E490</f>
        <v>100</v>
      </c>
      <c r="F489" s="118"/>
    </row>
    <row r="490" spans="1:6" s="86" customFormat="1" ht="31.5" x14ac:dyDescent="0.2">
      <c r="A490" s="11" t="s">
        <v>706</v>
      </c>
      <c r="B490" s="206" t="s">
        <v>50</v>
      </c>
      <c r="C490" s="197" t="s">
        <v>400</v>
      </c>
      <c r="D490" s="206">
        <v>240</v>
      </c>
      <c r="E490" s="198">
        <v>100</v>
      </c>
      <c r="F490" s="118"/>
    </row>
    <row r="491" spans="1:6" s="86" customFormat="1" ht="31.5" x14ac:dyDescent="0.2">
      <c r="A491" s="11" t="s">
        <v>172</v>
      </c>
      <c r="B491" s="206" t="s">
        <v>50</v>
      </c>
      <c r="C491" s="207" t="s">
        <v>403</v>
      </c>
      <c r="D491" s="206" t="s">
        <v>0</v>
      </c>
      <c r="E491" s="198">
        <f>E493</f>
        <v>800</v>
      </c>
      <c r="F491" s="118"/>
    </row>
    <row r="492" spans="1:6" s="86" customFormat="1" ht="31.5" x14ac:dyDescent="0.2">
      <c r="A492" s="39" t="s">
        <v>307</v>
      </c>
      <c r="B492" s="206" t="s">
        <v>50</v>
      </c>
      <c r="C492" s="207" t="s">
        <v>404</v>
      </c>
      <c r="D492" s="206"/>
      <c r="E492" s="198">
        <f>E493</f>
        <v>800</v>
      </c>
      <c r="F492" s="118"/>
    </row>
    <row r="493" spans="1:6" s="86" customFormat="1" ht="37.5" customHeight="1" x14ac:dyDescent="0.2">
      <c r="A493" s="5" t="s">
        <v>706</v>
      </c>
      <c r="B493" s="206" t="s">
        <v>50</v>
      </c>
      <c r="C493" s="207" t="s">
        <v>404</v>
      </c>
      <c r="D493" s="206">
        <v>240</v>
      </c>
      <c r="E493" s="198">
        <v>800</v>
      </c>
      <c r="F493" s="265"/>
    </row>
    <row r="494" spans="1:6" s="86" customFormat="1" ht="47.25" x14ac:dyDescent="0.2">
      <c r="A494" s="39" t="s">
        <v>233</v>
      </c>
      <c r="B494" s="206" t="s">
        <v>50</v>
      </c>
      <c r="C494" s="207" t="s">
        <v>514</v>
      </c>
      <c r="D494" s="206"/>
      <c r="E494" s="198">
        <f>E495</f>
        <v>289.3</v>
      </c>
      <c r="F494" s="118"/>
    </row>
    <row r="495" spans="1:6" s="86" customFormat="1" ht="47.25" x14ac:dyDescent="0.2">
      <c r="A495" s="11" t="s">
        <v>802</v>
      </c>
      <c r="B495" s="206" t="s">
        <v>50</v>
      </c>
      <c r="C495" s="207" t="s">
        <v>803</v>
      </c>
      <c r="D495" s="206"/>
      <c r="E495" s="198">
        <f>E496</f>
        <v>289.3</v>
      </c>
      <c r="F495" s="118"/>
    </row>
    <row r="496" spans="1:6" s="86" customFormat="1" ht="110.25" x14ac:dyDescent="0.2">
      <c r="A496" s="11" t="s">
        <v>916</v>
      </c>
      <c r="B496" s="206" t="s">
        <v>50</v>
      </c>
      <c r="C496" s="207" t="s">
        <v>917</v>
      </c>
      <c r="D496" s="196"/>
      <c r="E496" s="198">
        <f>E497</f>
        <v>289.3</v>
      </c>
      <c r="F496" s="118"/>
    </row>
    <row r="497" spans="1:8" s="86" customFormat="1" ht="38.25" customHeight="1" x14ac:dyDescent="0.2">
      <c r="A497" s="5" t="s">
        <v>706</v>
      </c>
      <c r="B497" s="206" t="s">
        <v>50</v>
      </c>
      <c r="C497" s="207" t="s">
        <v>917</v>
      </c>
      <c r="D497" s="196">
        <v>240</v>
      </c>
      <c r="E497" s="198">
        <v>289.3</v>
      </c>
      <c r="F497" s="118"/>
    </row>
    <row r="498" spans="1:8" s="86" customFormat="1" ht="47.25" x14ac:dyDescent="0.2">
      <c r="A498" s="11" t="s">
        <v>165</v>
      </c>
      <c r="B498" s="206" t="s">
        <v>50</v>
      </c>
      <c r="C498" s="207" t="s">
        <v>269</v>
      </c>
      <c r="D498" s="206" t="s">
        <v>0</v>
      </c>
      <c r="E498" s="198">
        <f>E499+E514+E517+E520</f>
        <v>692595.89999999991</v>
      </c>
      <c r="F498" s="118"/>
    </row>
    <row r="499" spans="1:8" s="86" customFormat="1" x14ac:dyDescent="0.2">
      <c r="A499" s="11" t="s">
        <v>181</v>
      </c>
      <c r="B499" s="206" t="s">
        <v>50</v>
      </c>
      <c r="C499" s="207" t="s">
        <v>363</v>
      </c>
      <c r="D499" s="206" t="s">
        <v>0</v>
      </c>
      <c r="E499" s="198">
        <f>E500+E506+E508+E512+E502+E504+E510</f>
        <v>654042.19999999995</v>
      </c>
      <c r="F499" s="118"/>
    </row>
    <row r="500" spans="1:8" s="86" customFormat="1" ht="31.5" x14ac:dyDescent="0.2">
      <c r="A500" s="39" t="s">
        <v>307</v>
      </c>
      <c r="B500" s="206" t="s">
        <v>50</v>
      </c>
      <c r="C500" s="207" t="s">
        <v>364</v>
      </c>
      <c r="D500" s="206"/>
      <c r="E500" s="198">
        <f>E501</f>
        <v>35182.400000000001</v>
      </c>
      <c r="F500" s="118"/>
    </row>
    <row r="501" spans="1:8" s="86" customFormat="1" ht="31.5" x14ac:dyDescent="0.2">
      <c r="A501" s="5" t="s">
        <v>706</v>
      </c>
      <c r="B501" s="206" t="s">
        <v>50</v>
      </c>
      <c r="C501" s="207" t="s">
        <v>364</v>
      </c>
      <c r="D501" s="206">
        <v>240</v>
      </c>
      <c r="E501" s="198">
        <f>16279.4+19080-177</f>
        <v>35182.400000000001</v>
      </c>
      <c r="F501" s="266"/>
      <c r="G501" s="267"/>
      <c r="H501" s="267"/>
    </row>
    <row r="502" spans="1:8" s="86" customFormat="1" ht="31.5" x14ac:dyDescent="0.2">
      <c r="A502" s="11" t="s">
        <v>1006</v>
      </c>
      <c r="B502" s="206" t="s">
        <v>50</v>
      </c>
      <c r="C502" s="197" t="s">
        <v>1016</v>
      </c>
      <c r="D502" s="206"/>
      <c r="E502" s="198">
        <f>E503</f>
        <v>237600</v>
      </c>
      <c r="F502" s="266"/>
      <c r="G502" s="267"/>
      <c r="H502" s="267"/>
    </row>
    <row r="503" spans="1:8" s="86" customFormat="1" ht="31.5" x14ac:dyDescent="0.2">
      <c r="A503" s="5" t="s">
        <v>706</v>
      </c>
      <c r="B503" s="206" t="s">
        <v>50</v>
      </c>
      <c r="C503" s="197" t="s">
        <v>1016</v>
      </c>
      <c r="D503" s="206">
        <v>240</v>
      </c>
      <c r="E503" s="198">
        <v>237600</v>
      </c>
      <c r="F503" s="266"/>
      <c r="G503" s="267"/>
      <c r="H503" s="267"/>
    </row>
    <row r="504" spans="1:8" s="86" customFormat="1" ht="47.25" x14ac:dyDescent="0.2">
      <c r="A504" s="284" t="s">
        <v>823</v>
      </c>
      <c r="B504" s="206" t="s">
        <v>50</v>
      </c>
      <c r="C504" s="197" t="s">
        <v>1017</v>
      </c>
      <c r="D504" s="206"/>
      <c r="E504" s="198">
        <f>E505</f>
        <v>2400</v>
      </c>
      <c r="F504" s="266"/>
      <c r="G504" s="267"/>
      <c r="H504" s="267"/>
    </row>
    <row r="505" spans="1:8" s="86" customFormat="1" ht="31.5" x14ac:dyDescent="0.2">
      <c r="A505" s="5" t="s">
        <v>706</v>
      </c>
      <c r="B505" s="206" t="s">
        <v>50</v>
      </c>
      <c r="C505" s="197" t="s">
        <v>1017</v>
      </c>
      <c r="D505" s="206">
        <v>240</v>
      </c>
      <c r="E505" s="198">
        <v>2400</v>
      </c>
      <c r="F505" s="266"/>
      <c r="G505" s="267"/>
      <c r="H505" s="267"/>
    </row>
    <row r="506" spans="1:8" s="86" customFormat="1" ht="31.5" x14ac:dyDescent="0.2">
      <c r="A506" s="11" t="s">
        <v>1006</v>
      </c>
      <c r="B506" s="196" t="s">
        <v>50</v>
      </c>
      <c r="C506" s="197" t="s">
        <v>1016</v>
      </c>
      <c r="D506" s="196"/>
      <c r="E506" s="194">
        <f>E507</f>
        <v>154369.5</v>
      </c>
      <c r="F506" s="266"/>
      <c r="G506" s="267"/>
      <c r="H506" s="267"/>
    </row>
    <row r="507" spans="1:8" s="86" customFormat="1" ht="47.25" x14ac:dyDescent="0.2">
      <c r="A507" s="39" t="s">
        <v>682</v>
      </c>
      <c r="B507" s="196" t="s">
        <v>50</v>
      </c>
      <c r="C507" s="197" t="s">
        <v>1016</v>
      </c>
      <c r="D507" s="196">
        <v>810</v>
      </c>
      <c r="E507" s="194">
        <f>391969.5-237600</f>
        <v>154369.5</v>
      </c>
      <c r="F507" s="266"/>
      <c r="G507" s="267"/>
      <c r="H507" s="267"/>
    </row>
    <row r="508" spans="1:8" s="86" customFormat="1" ht="47.25" x14ac:dyDescent="0.2">
      <c r="A508" s="284" t="s">
        <v>823</v>
      </c>
      <c r="B508" s="196" t="s">
        <v>50</v>
      </c>
      <c r="C508" s="197" t="s">
        <v>1017</v>
      </c>
      <c r="D508" s="196"/>
      <c r="E508" s="194">
        <f>E509</f>
        <v>1559.3</v>
      </c>
      <c r="F508" s="266"/>
      <c r="G508" s="267"/>
      <c r="H508" s="267"/>
    </row>
    <row r="509" spans="1:8" s="86" customFormat="1" ht="47.25" x14ac:dyDescent="0.2">
      <c r="A509" s="39" t="s">
        <v>682</v>
      </c>
      <c r="B509" s="196" t="s">
        <v>50</v>
      </c>
      <c r="C509" s="197" t="s">
        <v>1017</v>
      </c>
      <c r="D509" s="196">
        <v>810</v>
      </c>
      <c r="E509" s="194">
        <f>3920-2400+39.3</f>
        <v>1559.3</v>
      </c>
      <c r="F509" s="266"/>
      <c r="G509" s="267"/>
      <c r="H509" s="267"/>
    </row>
    <row r="510" spans="1:8" s="86" customFormat="1" ht="31.5" x14ac:dyDescent="0.2">
      <c r="A510" s="39" t="s">
        <v>1064</v>
      </c>
      <c r="B510" s="196" t="s">
        <v>50</v>
      </c>
      <c r="C510" s="197" t="s">
        <v>1063</v>
      </c>
      <c r="D510" s="196"/>
      <c r="E510" s="194">
        <f>E511</f>
        <v>170000</v>
      </c>
      <c r="F510" s="266"/>
      <c r="G510" s="267"/>
      <c r="H510" s="267"/>
    </row>
    <row r="511" spans="1:8" s="86" customFormat="1" ht="47.25" x14ac:dyDescent="0.2">
      <c r="A511" s="39" t="s">
        <v>682</v>
      </c>
      <c r="B511" s="196" t="s">
        <v>50</v>
      </c>
      <c r="C511" s="197" t="s">
        <v>1063</v>
      </c>
      <c r="D511" s="196">
        <v>810</v>
      </c>
      <c r="E511" s="194">
        <v>170000</v>
      </c>
      <c r="F511" s="266"/>
      <c r="G511" s="267"/>
      <c r="H511" s="267"/>
    </row>
    <row r="512" spans="1:8" s="86" customFormat="1" ht="50.25" customHeight="1" x14ac:dyDescent="0.2">
      <c r="A512" s="11" t="s">
        <v>391</v>
      </c>
      <c r="B512" s="206" t="s">
        <v>50</v>
      </c>
      <c r="C512" s="207" t="s">
        <v>392</v>
      </c>
      <c r="D512" s="206"/>
      <c r="E512" s="198">
        <f>E513</f>
        <v>52931</v>
      </c>
      <c r="F512" s="118"/>
    </row>
    <row r="513" spans="1:6" s="86" customFormat="1" ht="31.5" x14ac:dyDescent="0.2">
      <c r="A513" s="37" t="s">
        <v>101</v>
      </c>
      <c r="B513" s="206" t="s">
        <v>50</v>
      </c>
      <c r="C513" s="207" t="s">
        <v>392</v>
      </c>
      <c r="D513" s="206">
        <v>630</v>
      </c>
      <c r="E513" s="198">
        <v>52931</v>
      </c>
      <c r="F513" s="118"/>
    </row>
    <row r="514" spans="1:6" s="86" customFormat="1" ht="31.5" x14ac:dyDescent="0.2">
      <c r="A514" s="39" t="s">
        <v>843</v>
      </c>
      <c r="B514" s="206" t="s">
        <v>50</v>
      </c>
      <c r="C514" s="207" t="s">
        <v>413</v>
      </c>
      <c r="D514" s="206" t="s">
        <v>0</v>
      </c>
      <c r="E514" s="198">
        <f>E515</f>
        <v>1250</v>
      </c>
      <c r="F514" s="118"/>
    </row>
    <row r="515" spans="1:6" s="86" customFormat="1" ht="31.5" x14ac:dyDescent="0.2">
      <c r="A515" s="39" t="s">
        <v>307</v>
      </c>
      <c r="B515" s="206" t="s">
        <v>50</v>
      </c>
      <c r="C515" s="207" t="s">
        <v>414</v>
      </c>
      <c r="D515" s="206"/>
      <c r="E515" s="198">
        <f>E516</f>
        <v>1250</v>
      </c>
      <c r="F515" s="118"/>
    </row>
    <row r="516" spans="1:6" s="86" customFormat="1" ht="31.5" x14ac:dyDescent="0.2">
      <c r="A516" s="5" t="s">
        <v>706</v>
      </c>
      <c r="B516" s="206" t="s">
        <v>50</v>
      </c>
      <c r="C516" s="207" t="s">
        <v>414</v>
      </c>
      <c r="D516" s="206">
        <v>240</v>
      </c>
      <c r="E516" s="198">
        <v>1250</v>
      </c>
      <c r="F516" s="118"/>
    </row>
    <row r="517" spans="1:6" s="86" customFormat="1" ht="63" x14ac:dyDescent="0.2">
      <c r="A517" s="39" t="s">
        <v>787</v>
      </c>
      <c r="B517" s="206" t="s">
        <v>50</v>
      </c>
      <c r="C517" s="207" t="s">
        <v>788</v>
      </c>
      <c r="D517" s="206"/>
      <c r="E517" s="198">
        <f>E518</f>
        <v>19430</v>
      </c>
      <c r="F517" s="118"/>
    </row>
    <row r="518" spans="1:6" s="86" customFormat="1" ht="31.5" x14ac:dyDescent="0.2">
      <c r="A518" s="11" t="s">
        <v>412</v>
      </c>
      <c r="B518" s="206" t="s">
        <v>50</v>
      </c>
      <c r="C518" s="207" t="s">
        <v>786</v>
      </c>
      <c r="D518" s="206"/>
      <c r="E518" s="198">
        <f>E519</f>
        <v>19430</v>
      </c>
      <c r="F518" s="118"/>
    </row>
    <row r="519" spans="1:6" s="86" customFormat="1" ht="47.25" x14ac:dyDescent="0.2">
      <c r="A519" s="11" t="s">
        <v>682</v>
      </c>
      <c r="B519" s="206" t="s">
        <v>50</v>
      </c>
      <c r="C519" s="207" t="s">
        <v>786</v>
      </c>
      <c r="D519" s="206">
        <v>810</v>
      </c>
      <c r="E519" s="198">
        <f>8350-3920+15000</f>
        <v>19430</v>
      </c>
      <c r="F519" s="266"/>
    </row>
    <row r="520" spans="1:6" s="86" customFormat="1" ht="31.5" x14ac:dyDescent="0.2">
      <c r="A520" s="39" t="s">
        <v>1018</v>
      </c>
      <c r="B520" s="196" t="s">
        <v>50</v>
      </c>
      <c r="C520" s="197" t="s">
        <v>1021</v>
      </c>
      <c r="D520" s="196"/>
      <c r="E520" s="194">
        <f>E521+E523</f>
        <v>17873.7</v>
      </c>
      <c r="F520" s="266"/>
    </row>
    <row r="521" spans="1:6" s="86" customFormat="1" ht="47.25" x14ac:dyDescent="0.2">
      <c r="A521" s="39" t="s">
        <v>1019</v>
      </c>
      <c r="B521" s="196" t="s">
        <v>50</v>
      </c>
      <c r="C521" s="197" t="s">
        <v>1022</v>
      </c>
      <c r="D521" s="196"/>
      <c r="E521" s="194">
        <f>E522</f>
        <v>17695</v>
      </c>
      <c r="F521" s="266"/>
    </row>
    <row r="522" spans="1:6" s="86" customFormat="1" ht="47.25" x14ac:dyDescent="0.2">
      <c r="A522" s="39" t="s">
        <v>682</v>
      </c>
      <c r="B522" s="196" t="s">
        <v>50</v>
      </c>
      <c r="C522" s="197" t="s">
        <v>1022</v>
      </c>
      <c r="D522" s="196">
        <v>810</v>
      </c>
      <c r="E522" s="194">
        <v>17695</v>
      </c>
      <c r="F522" s="266"/>
    </row>
    <row r="523" spans="1:6" s="86" customFormat="1" ht="47.25" x14ac:dyDescent="0.2">
      <c r="A523" s="39" t="s">
        <v>1020</v>
      </c>
      <c r="B523" s="196" t="s">
        <v>50</v>
      </c>
      <c r="C523" s="197" t="s">
        <v>1023</v>
      </c>
      <c r="D523" s="196"/>
      <c r="E523" s="194">
        <f>E524</f>
        <v>178.7</v>
      </c>
      <c r="F523" s="266"/>
    </row>
    <row r="524" spans="1:6" s="86" customFormat="1" ht="47.25" x14ac:dyDescent="0.2">
      <c r="A524" s="39" t="s">
        <v>682</v>
      </c>
      <c r="B524" s="196" t="s">
        <v>50</v>
      </c>
      <c r="C524" s="197" t="s">
        <v>1023</v>
      </c>
      <c r="D524" s="196">
        <v>810</v>
      </c>
      <c r="E524" s="194">
        <f>177+1.7</f>
        <v>178.7</v>
      </c>
      <c r="F524" s="266"/>
    </row>
    <row r="525" spans="1:6" s="86" customFormat="1" ht="47.25" x14ac:dyDescent="0.2">
      <c r="A525" s="11" t="s">
        <v>176</v>
      </c>
      <c r="B525" s="206" t="s">
        <v>50</v>
      </c>
      <c r="C525" s="207" t="s">
        <v>271</v>
      </c>
      <c r="D525" s="206" t="s">
        <v>0</v>
      </c>
      <c r="E525" s="198">
        <f>E526+E550</f>
        <v>410648.30000000005</v>
      </c>
      <c r="F525" s="118"/>
    </row>
    <row r="526" spans="1:6" s="86" customFormat="1" ht="47.25" x14ac:dyDescent="0.2">
      <c r="A526" s="11" t="s">
        <v>256</v>
      </c>
      <c r="B526" s="206" t="s">
        <v>50</v>
      </c>
      <c r="C526" s="207" t="s">
        <v>272</v>
      </c>
      <c r="D526" s="206" t="s">
        <v>0</v>
      </c>
      <c r="E526" s="198">
        <f>E530+E533+E540+E545+E527</f>
        <v>382076.9</v>
      </c>
      <c r="F526" s="118"/>
    </row>
    <row r="527" spans="1:6" s="86" customFormat="1" ht="47.25" x14ac:dyDescent="0.2">
      <c r="A527" s="285" t="s">
        <v>620</v>
      </c>
      <c r="B527" s="207" t="s">
        <v>50</v>
      </c>
      <c r="C527" s="269" t="s">
        <v>1082</v>
      </c>
      <c r="D527" s="206"/>
      <c r="E527" s="198">
        <f>E528</f>
        <v>225</v>
      </c>
      <c r="F527" s="118"/>
    </row>
    <row r="528" spans="1:6" s="86" customFormat="1" x14ac:dyDescent="0.2">
      <c r="A528" s="259" t="s">
        <v>376</v>
      </c>
      <c r="B528" s="268" t="s">
        <v>50</v>
      </c>
      <c r="C528" s="269" t="s">
        <v>1014</v>
      </c>
      <c r="D528" s="206"/>
      <c r="E528" s="198">
        <f>E529</f>
        <v>225</v>
      </c>
      <c r="F528" s="118"/>
    </row>
    <row r="529" spans="1:6" s="86" customFormat="1" x14ac:dyDescent="0.2">
      <c r="A529" s="259" t="s">
        <v>100</v>
      </c>
      <c r="B529" s="268" t="s">
        <v>50</v>
      </c>
      <c r="C529" s="269" t="s">
        <v>1014</v>
      </c>
      <c r="D529" s="206">
        <v>360</v>
      </c>
      <c r="E529" s="198">
        <v>225</v>
      </c>
      <c r="F529" s="118"/>
    </row>
    <row r="530" spans="1:6" s="86" customFormat="1" ht="47.25" x14ac:dyDescent="0.2">
      <c r="A530" s="11" t="s">
        <v>620</v>
      </c>
      <c r="B530" s="206" t="s">
        <v>50</v>
      </c>
      <c r="C530" s="207" t="s">
        <v>789</v>
      </c>
      <c r="D530" s="206"/>
      <c r="E530" s="198">
        <f>E531</f>
        <v>1250</v>
      </c>
      <c r="F530" s="118"/>
    </row>
    <row r="531" spans="1:6" s="86" customFormat="1" ht="31.5" x14ac:dyDescent="0.2">
      <c r="A531" s="39" t="s">
        <v>307</v>
      </c>
      <c r="B531" s="206" t="s">
        <v>50</v>
      </c>
      <c r="C531" s="207" t="s">
        <v>790</v>
      </c>
      <c r="D531" s="206"/>
      <c r="E531" s="198">
        <f>E532</f>
        <v>1250</v>
      </c>
      <c r="F531" s="118"/>
    </row>
    <row r="532" spans="1:6" s="86" customFormat="1" ht="31.5" x14ac:dyDescent="0.2">
      <c r="A532" s="5" t="s">
        <v>706</v>
      </c>
      <c r="B532" s="206" t="s">
        <v>50</v>
      </c>
      <c r="C532" s="207" t="s">
        <v>790</v>
      </c>
      <c r="D532" s="207" t="s">
        <v>707</v>
      </c>
      <c r="E532" s="198">
        <v>1250</v>
      </c>
      <c r="F532" s="118"/>
    </row>
    <row r="533" spans="1:6" s="86" customFormat="1" ht="63" x14ac:dyDescent="0.2">
      <c r="A533" s="11" t="s">
        <v>624</v>
      </c>
      <c r="B533" s="206" t="s">
        <v>50</v>
      </c>
      <c r="C533" s="207" t="s">
        <v>625</v>
      </c>
      <c r="D533" s="207"/>
      <c r="E533" s="198">
        <f>E534+E536+E539</f>
        <v>23459</v>
      </c>
      <c r="F533" s="118"/>
    </row>
    <row r="534" spans="1:6" s="86" customFormat="1" ht="47.25" x14ac:dyDescent="0.2">
      <c r="A534" s="11" t="s">
        <v>430</v>
      </c>
      <c r="B534" s="206" t="s">
        <v>50</v>
      </c>
      <c r="C534" s="207" t="s">
        <v>626</v>
      </c>
      <c r="D534" s="207"/>
      <c r="E534" s="198">
        <f>E535</f>
        <v>0</v>
      </c>
      <c r="F534" s="118"/>
    </row>
    <row r="535" spans="1:6" s="86" customFormat="1" ht="31.5" x14ac:dyDescent="0.2">
      <c r="A535" s="5" t="s">
        <v>706</v>
      </c>
      <c r="B535" s="206" t="s">
        <v>50</v>
      </c>
      <c r="C535" s="207" t="s">
        <v>626</v>
      </c>
      <c r="D535" s="207" t="s">
        <v>707</v>
      </c>
      <c r="E535" s="198">
        <f>200-200</f>
        <v>0</v>
      </c>
      <c r="F535" s="118"/>
    </row>
    <row r="536" spans="1:6" s="86" customFormat="1" ht="31.5" x14ac:dyDescent="0.2">
      <c r="A536" s="39" t="s">
        <v>307</v>
      </c>
      <c r="B536" s="206" t="s">
        <v>50</v>
      </c>
      <c r="C536" s="207" t="s">
        <v>627</v>
      </c>
      <c r="D536" s="207"/>
      <c r="E536" s="198">
        <f>E537</f>
        <v>4800</v>
      </c>
      <c r="F536" s="118"/>
    </row>
    <row r="537" spans="1:6" s="86" customFormat="1" ht="31.5" x14ac:dyDescent="0.2">
      <c r="A537" s="5" t="s">
        <v>706</v>
      </c>
      <c r="B537" s="206" t="s">
        <v>50</v>
      </c>
      <c r="C537" s="207" t="s">
        <v>627</v>
      </c>
      <c r="D537" s="207" t="s">
        <v>707</v>
      </c>
      <c r="E537" s="198">
        <v>4800</v>
      </c>
      <c r="F537" s="118"/>
    </row>
    <row r="538" spans="1:6" s="86" customFormat="1" ht="94.5" x14ac:dyDescent="0.2">
      <c r="A538" s="37" t="s">
        <v>1083</v>
      </c>
      <c r="B538" s="206" t="s">
        <v>50</v>
      </c>
      <c r="C538" s="207" t="s">
        <v>832</v>
      </c>
      <c r="D538" s="206"/>
      <c r="E538" s="198">
        <f>E539</f>
        <v>18659</v>
      </c>
      <c r="F538" s="279"/>
    </row>
    <row r="539" spans="1:6" s="86" customFormat="1" ht="33" customHeight="1" x14ac:dyDescent="0.2">
      <c r="A539" s="11" t="s">
        <v>682</v>
      </c>
      <c r="B539" s="206" t="s">
        <v>50</v>
      </c>
      <c r="C539" s="207" t="s">
        <v>832</v>
      </c>
      <c r="D539" s="206">
        <v>810</v>
      </c>
      <c r="E539" s="198">
        <f>18500+159</f>
        <v>18659</v>
      </c>
      <c r="F539" s="118"/>
    </row>
    <row r="540" spans="1:6" s="86" customFormat="1" ht="51.75" customHeight="1" x14ac:dyDescent="0.2">
      <c r="A540" s="5" t="s">
        <v>183</v>
      </c>
      <c r="B540" s="206" t="s">
        <v>50</v>
      </c>
      <c r="C540" s="207" t="s">
        <v>461</v>
      </c>
      <c r="D540" s="206"/>
      <c r="E540" s="198">
        <f>E543+E541</f>
        <v>297142.90000000002</v>
      </c>
      <c r="F540" s="118"/>
    </row>
    <row r="541" spans="1:6" s="86" customFormat="1" ht="31.5" x14ac:dyDescent="0.2">
      <c r="A541" s="39" t="s">
        <v>722</v>
      </c>
      <c r="B541" s="206" t="s">
        <v>50</v>
      </c>
      <c r="C541" s="207" t="s">
        <v>1013</v>
      </c>
      <c r="D541" s="207"/>
      <c r="E541" s="198">
        <f>E542</f>
        <v>208000</v>
      </c>
      <c r="F541" s="118"/>
    </row>
    <row r="542" spans="1:6" s="86" customFormat="1" ht="31.5" x14ac:dyDescent="0.2">
      <c r="A542" s="39" t="s">
        <v>157</v>
      </c>
      <c r="B542" s="206" t="s">
        <v>50</v>
      </c>
      <c r="C542" s="207" t="s">
        <v>1013</v>
      </c>
      <c r="D542" s="207" t="s">
        <v>158</v>
      </c>
      <c r="E542" s="198">
        <v>208000</v>
      </c>
      <c r="F542" s="118"/>
    </row>
    <row r="543" spans="1:6" s="86" customFormat="1" ht="47.25" x14ac:dyDescent="0.2">
      <c r="A543" s="11" t="s">
        <v>716</v>
      </c>
      <c r="B543" s="206" t="s">
        <v>50</v>
      </c>
      <c r="C543" s="207" t="s">
        <v>1012</v>
      </c>
      <c r="D543" s="207"/>
      <c r="E543" s="198">
        <f>E544</f>
        <v>89142.9</v>
      </c>
      <c r="F543" s="118"/>
    </row>
    <row r="544" spans="1:6" s="86" customFormat="1" ht="37.5" customHeight="1" x14ac:dyDescent="0.2">
      <c r="A544" s="11" t="s">
        <v>157</v>
      </c>
      <c r="B544" s="206" t="s">
        <v>50</v>
      </c>
      <c r="C544" s="207" t="s">
        <v>1012</v>
      </c>
      <c r="D544" s="207" t="s">
        <v>158</v>
      </c>
      <c r="E544" s="198">
        <f>98467.4-277.6+277.6-9324.5</f>
        <v>89142.9</v>
      </c>
      <c r="F544" s="266"/>
    </row>
    <row r="545" spans="1:6" s="86" customFormat="1" ht="53.25" customHeight="1" x14ac:dyDescent="0.2">
      <c r="A545" s="11" t="s">
        <v>840</v>
      </c>
      <c r="B545" s="206" t="s">
        <v>50</v>
      </c>
      <c r="C545" s="207" t="s">
        <v>841</v>
      </c>
      <c r="D545" s="206"/>
      <c r="E545" s="198">
        <f>E546+E548</f>
        <v>60000</v>
      </c>
      <c r="F545" s="266"/>
    </row>
    <row r="546" spans="1:6" s="86" customFormat="1" x14ac:dyDescent="0.2">
      <c r="A546" s="39" t="s">
        <v>376</v>
      </c>
      <c r="B546" s="206" t="s">
        <v>50</v>
      </c>
      <c r="C546" s="197" t="s">
        <v>1014</v>
      </c>
      <c r="D546" s="206"/>
      <c r="E546" s="198">
        <f>E547</f>
        <v>0</v>
      </c>
      <c r="F546" s="266"/>
    </row>
    <row r="547" spans="1:6" s="86" customFormat="1" x14ac:dyDescent="0.2">
      <c r="A547" s="39" t="s">
        <v>100</v>
      </c>
      <c r="B547" s="206" t="s">
        <v>50</v>
      </c>
      <c r="C547" s="197" t="s">
        <v>842</v>
      </c>
      <c r="D547" s="206">
        <v>360</v>
      </c>
      <c r="E547" s="198">
        <f>225-225</f>
        <v>0</v>
      </c>
      <c r="F547" s="266"/>
    </row>
    <row r="548" spans="1:6" s="86" customFormat="1" ht="21.75" customHeight="1" x14ac:dyDescent="0.2">
      <c r="A548" s="11" t="s">
        <v>376</v>
      </c>
      <c r="B548" s="206" t="s">
        <v>50</v>
      </c>
      <c r="C548" s="207" t="s">
        <v>842</v>
      </c>
      <c r="D548" s="206"/>
      <c r="E548" s="198">
        <f>E549</f>
        <v>60000</v>
      </c>
      <c r="F548" s="266"/>
    </row>
    <row r="549" spans="1:6" s="86" customFormat="1" ht="37.5" customHeight="1" x14ac:dyDescent="0.2">
      <c r="A549" s="11" t="s">
        <v>51</v>
      </c>
      <c r="B549" s="206" t="s">
        <v>50</v>
      </c>
      <c r="C549" s="207" t="s">
        <v>842</v>
      </c>
      <c r="D549" s="206">
        <v>412</v>
      </c>
      <c r="E549" s="198">
        <v>60000</v>
      </c>
      <c r="F549" s="270"/>
    </row>
    <row r="550" spans="1:6" s="86" customFormat="1" ht="31.5" x14ac:dyDescent="0.2">
      <c r="A550" s="11" t="s">
        <v>184</v>
      </c>
      <c r="B550" s="206" t="s">
        <v>50</v>
      </c>
      <c r="C550" s="207" t="s">
        <v>273</v>
      </c>
      <c r="D550" s="206" t="s">
        <v>0</v>
      </c>
      <c r="E550" s="198">
        <f>E551</f>
        <v>28571.4</v>
      </c>
      <c r="F550" s="118"/>
    </row>
    <row r="551" spans="1:6" s="86" customFormat="1" ht="31.5" x14ac:dyDescent="0.2">
      <c r="A551" s="286" t="s">
        <v>757</v>
      </c>
      <c r="B551" s="206" t="s">
        <v>50</v>
      </c>
      <c r="C551" s="207" t="s">
        <v>758</v>
      </c>
      <c r="D551" s="206"/>
      <c r="E551" s="198">
        <f>E552+E554</f>
        <v>28571.4</v>
      </c>
      <c r="F551" s="118"/>
    </row>
    <row r="552" spans="1:6" s="86" customFormat="1" ht="31.5" x14ac:dyDescent="0.2">
      <c r="A552" s="286" t="s">
        <v>757</v>
      </c>
      <c r="B552" s="206" t="s">
        <v>50</v>
      </c>
      <c r="C552" s="207" t="s">
        <v>1015</v>
      </c>
      <c r="D552" s="206"/>
      <c r="E552" s="198">
        <f>E553</f>
        <v>20000</v>
      </c>
      <c r="F552" s="118"/>
    </row>
    <row r="553" spans="1:6" s="86" customFormat="1" ht="31.5" x14ac:dyDescent="0.2">
      <c r="A553" s="11" t="s">
        <v>51</v>
      </c>
      <c r="B553" s="206" t="s">
        <v>50</v>
      </c>
      <c r="C553" s="207" t="s">
        <v>1015</v>
      </c>
      <c r="D553" s="206">
        <v>412</v>
      </c>
      <c r="E553" s="198">
        <v>20000</v>
      </c>
      <c r="F553" s="118"/>
    </row>
    <row r="554" spans="1:6" s="86" customFormat="1" ht="31.5" x14ac:dyDescent="0.2">
      <c r="A554" s="11" t="s">
        <v>827</v>
      </c>
      <c r="B554" s="206" t="s">
        <v>50</v>
      </c>
      <c r="C554" s="207" t="s">
        <v>828</v>
      </c>
      <c r="D554" s="196"/>
      <c r="E554" s="198">
        <f>E555</f>
        <v>8571.4</v>
      </c>
      <c r="F554" s="270"/>
    </row>
    <row r="555" spans="1:6" s="86" customFormat="1" ht="31.5" x14ac:dyDescent="0.2">
      <c r="A555" s="11" t="s">
        <v>51</v>
      </c>
      <c r="B555" s="206" t="s">
        <v>50</v>
      </c>
      <c r="C555" s="207" t="s">
        <v>828</v>
      </c>
      <c r="D555" s="196">
        <v>412</v>
      </c>
      <c r="E555" s="198">
        <v>8571.4</v>
      </c>
      <c r="F555" s="270"/>
    </row>
    <row r="556" spans="1:6" s="86" customFormat="1" x14ac:dyDescent="0.2">
      <c r="A556" s="20" t="s">
        <v>53</v>
      </c>
      <c r="B556" s="287" t="s">
        <v>54</v>
      </c>
      <c r="C556" s="288" t="s">
        <v>0</v>
      </c>
      <c r="D556" s="287" t="s">
        <v>0</v>
      </c>
      <c r="E556" s="289">
        <f>E557+E561+E565+E590+E596</f>
        <v>1907555.0999999999</v>
      </c>
      <c r="F556" s="118"/>
    </row>
    <row r="557" spans="1:6" s="86" customFormat="1" ht="47.25" x14ac:dyDescent="0.2">
      <c r="A557" s="11" t="s">
        <v>169</v>
      </c>
      <c r="B557" s="206" t="s">
        <v>54</v>
      </c>
      <c r="C557" s="207" t="s">
        <v>398</v>
      </c>
      <c r="D557" s="206" t="s">
        <v>0</v>
      </c>
      <c r="E557" s="198">
        <f>E558</f>
        <v>7984.2</v>
      </c>
      <c r="F557" s="118"/>
    </row>
    <row r="558" spans="1:6" s="86" customFormat="1" ht="31.5" x14ac:dyDescent="0.2">
      <c r="A558" s="11" t="s">
        <v>172</v>
      </c>
      <c r="B558" s="206" t="s">
        <v>54</v>
      </c>
      <c r="C558" s="207" t="s">
        <v>403</v>
      </c>
      <c r="D558" s="206" t="s">
        <v>0</v>
      </c>
      <c r="E558" s="198">
        <f>SUM(E560)</f>
        <v>7984.2</v>
      </c>
      <c r="F558" s="118"/>
    </row>
    <row r="559" spans="1:6" s="86" customFormat="1" ht="31.5" x14ac:dyDescent="0.2">
      <c r="A559" s="39" t="s">
        <v>307</v>
      </c>
      <c r="B559" s="206" t="s">
        <v>54</v>
      </c>
      <c r="C559" s="207" t="s">
        <v>404</v>
      </c>
      <c r="D559" s="206"/>
      <c r="E559" s="198">
        <f>E560</f>
        <v>7984.2</v>
      </c>
      <c r="F559" s="118"/>
    </row>
    <row r="560" spans="1:6" s="86" customFormat="1" ht="31.5" x14ac:dyDescent="0.2">
      <c r="A560" s="5" t="s">
        <v>706</v>
      </c>
      <c r="B560" s="206" t="s">
        <v>54</v>
      </c>
      <c r="C560" s="207" t="s">
        <v>404</v>
      </c>
      <c r="D560" s="206">
        <v>240</v>
      </c>
      <c r="E560" s="198">
        <f>7964.2+20</f>
        <v>7984.2</v>
      </c>
      <c r="F560" s="266"/>
    </row>
    <row r="561" spans="1:6" s="86" customFormat="1" ht="31.5" x14ac:dyDescent="0.2">
      <c r="A561" s="11" t="s">
        <v>117</v>
      </c>
      <c r="B561" s="206" t="s">
        <v>54</v>
      </c>
      <c r="C561" s="207" t="s">
        <v>397</v>
      </c>
      <c r="D561" s="206" t="s">
        <v>0</v>
      </c>
      <c r="E561" s="198">
        <f>E562</f>
        <v>9200</v>
      </c>
      <c r="F561" s="118"/>
    </row>
    <row r="562" spans="1:6" s="86" customFormat="1" ht="47.25" x14ac:dyDescent="0.2">
      <c r="A562" s="11" t="s">
        <v>185</v>
      </c>
      <c r="B562" s="206" t="s">
        <v>54</v>
      </c>
      <c r="C562" s="207" t="s">
        <v>630</v>
      </c>
      <c r="D562" s="206" t="s">
        <v>0</v>
      </c>
      <c r="E562" s="198">
        <f>E563</f>
        <v>9200</v>
      </c>
      <c r="F562" s="118"/>
    </row>
    <row r="563" spans="1:6" s="86" customFormat="1" ht="31.5" x14ac:dyDescent="0.2">
      <c r="A563" s="11" t="s">
        <v>632</v>
      </c>
      <c r="B563" s="206" t="s">
        <v>54</v>
      </c>
      <c r="C563" s="207" t="s">
        <v>631</v>
      </c>
      <c r="D563" s="206"/>
      <c r="E563" s="198">
        <f>E564</f>
        <v>9200</v>
      </c>
      <c r="F563" s="118"/>
    </row>
    <row r="564" spans="1:6" s="86" customFormat="1" ht="47.25" x14ac:dyDescent="0.2">
      <c r="A564" s="11" t="s">
        <v>682</v>
      </c>
      <c r="B564" s="206" t="s">
        <v>54</v>
      </c>
      <c r="C564" s="207" t="s">
        <v>631</v>
      </c>
      <c r="D564" s="206" t="s">
        <v>37</v>
      </c>
      <c r="E564" s="198">
        <v>9200</v>
      </c>
      <c r="F564" s="118"/>
    </row>
    <row r="565" spans="1:6" s="86" customFormat="1" ht="47.25" x14ac:dyDescent="0.2">
      <c r="A565" s="11" t="s">
        <v>186</v>
      </c>
      <c r="B565" s="206" t="s">
        <v>54</v>
      </c>
      <c r="C565" s="207" t="s">
        <v>274</v>
      </c>
      <c r="D565" s="206" t="s">
        <v>0</v>
      </c>
      <c r="E565" s="198">
        <f>E566+E571+E578+E581</f>
        <v>1516836.7</v>
      </c>
      <c r="F565" s="118"/>
    </row>
    <row r="566" spans="1:6" s="86" customFormat="1" ht="31.5" x14ac:dyDescent="0.2">
      <c r="A566" s="11" t="s">
        <v>260</v>
      </c>
      <c r="B566" s="206" t="s">
        <v>54</v>
      </c>
      <c r="C566" s="207" t="s">
        <v>623</v>
      </c>
      <c r="D566" s="206" t="s">
        <v>0</v>
      </c>
      <c r="E566" s="198">
        <f>E567+E569</f>
        <v>979012.5</v>
      </c>
      <c r="F566" s="118"/>
    </row>
    <row r="567" spans="1:6" s="86" customFormat="1" ht="31.5" x14ac:dyDescent="0.2">
      <c r="A567" s="11" t="s">
        <v>722</v>
      </c>
      <c r="B567" s="196" t="s">
        <v>54</v>
      </c>
      <c r="C567" s="197" t="s">
        <v>808</v>
      </c>
      <c r="D567" s="196"/>
      <c r="E567" s="198">
        <f>E568</f>
        <v>459820.9</v>
      </c>
      <c r="F567" s="118"/>
    </row>
    <row r="568" spans="1:6" s="86" customFormat="1" ht="31.5" x14ac:dyDescent="0.2">
      <c r="A568" s="39" t="s">
        <v>157</v>
      </c>
      <c r="B568" s="196" t="s">
        <v>54</v>
      </c>
      <c r="C568" s="197" t="s">
        <v>808</v>
      </c>
      <c r="D568" s="196">
        <v>414</v>
      </c>
      <c r="E568" s="198">
        <f>402557.2+57263.7</f>
        <v>459820.9</v>
      </c>
      <c r="F568" s="266"/>
    </row>
    <row r="569" spans="1:6" s="86" customFormat="1" ht="47.25" x14ac:dyDescent="0.2">
      <c r="A569" s="11" t="s">
        <v>716</v>
      </c>
      <c r="B569" s="206" t="s">
        <v>54</v>
      </c>
      <c r="C569" s="207" t="s">
        <v>717</v>
      </c>
      <c r="D569" s="206"/>
      <c r="E569" s="194">
        <f>E570</f>
        <v>519191.60000000003</v>
      </c>
      <c r="F569" s="118"/>
    </row>
    <row r="570" spans="1:6" s="86" customFormat="1" ht="31.5" x14ac:dyDescent="0.2">
      <c r="A570" s="11" t="s">
        <v>157</v>
      </c>
      <c r="B570" s="206" t="s">
        <v>54</v>
      </c>
      <c r="C570" s="207" t="s">
        <v>717</v>
      </c>
      <c r="D570" s="206">
        <v>414</v>
      </c>
      <c r="E570" s="194">
        <f>243696+24541.5+263246.3-11907.5-384.7</f>
        <v>519191.60000000003</v>
      </c>
      <c r="F570" s="271"/>
    </row>
    <row r="571" spans="1:6" s="86" customFormat="1" ht="31.5" x14ac:dyDescent="0.2">
      <c r="A571" s="5" t="s">
        <v>187</v>
      </c>
      <c r="B571" s="206" t="s">
        <v>54</v>
      </c>
      <c r="C571" s="207" t="s">
        <v>275</v>
      </c>
      <c r="D571" s="206"/>
      <c r="E571" s="198">
        <f>E574+E576+E572</f>
        <v>433287</v>
      </c>
      <c r="F571" s="118"/>
    </row>
    <row r="572" spans="1:6" s="86" customFormat="1" ht="31.5" x14ac:dyDescent="0.2">
      <c r="A572" s="5" t="s">
        <v>307</v>
      </c>
      <c r="B572" s="206" t="s">
        <v>54</v>
      </c>
      <c r="C572" s="207" t="s">
        <v>1074</v>
      </c>
      <c r="D572" s="206"/>
      <c r="E572" s="198">
        <f>E573</f>
        <v>37934.1</v>
      </c>
      <c r="F572" s="118"/>
    </row>
    <row r="573" spans="1:6" s="86" customFormat="1" ht="31.5" x14ac:dyDescent="0.2">
      <c r="A573" s="5" t="s">
        <v>706</v>
      </c>
      <c r="B573" s="206" t="s">
        <v>54</v>
      </c>
      <c r="C573" s="207" t="s">
        <v>1074</v>
      </c>
      <c r="D573" s="206">
        <v>240</v>
      </c>
      <c r="E573" s="198">
        <v>37934.1</v>
      </c>
      <c r="F573" s="118"/>
    </row>
    <row r="574" spans="1:6" s="86" customFormat="1" ht="31.5" x14ac:dyDescent="0.2">
      <c r="A574" s="284" t="s">
        <v>1006</v>
      </c>
      <c r="B574" s="206" t="s">
        <v>54</v>
      </c>
      <c r="C574" s="207" t="s">
        <v>1007</v>
      </c>
      <c r="D574" s="206"/>
      <c r="E574" s="198">
        <f>E575</f>
        <v>270000</v>
      </c>
      <c r="F574" s="118"/>
    </row>
    <row r="575" spans="1:6" s="86" customFormat="1" ht="31.5" x14ac:dyDescent="0.2">
      <c r="A575" s="11" t="s">
        <v>706</v>
      </c>
      <c r="B575" s="206" t="s">
        <v>54</v>
      </c>
      <c r="C575" s="207" t="s">
        <v>1007</v>
      </c>
      <c r="D575" s="206">
        <v>240</v>
      </c>
      <c r="E575" s="198">
        <v>270000</v>
      </c>
      <c r="F575" s="118"/>
    </row>
    <row r="576" spans="1:6" s="86" customFormat="1" ht="47.25" x14ac:dyDescent="0.2">
      <c r="A576" s="290" t="s">
        <v>823</v>
      </c>
      <c r="B576" s="206" t="s">
        <v>54</v>
      </c>
      <c r="C576" s="207" t="s">
        <v>622</v>
      </c>
      <c r="D576" s="206"/>
      <c r="E576" s="198">
        <f>E577</f>
        <v>125352.9</v>
      </c>
      <c r="F576" s="118"/>
    </row>
    <row r="577" spans="1:9" s="86" customFormat="1" ht="31.5" x14ac:dyDescent="0.2">
      <c r="A577" s="5" t="s">
        <v>706</v>
      </c>
      <c r="B577" s="206" t="s">
        <v>54</v>
      </c>
      <c r="C577" s="207" t="s">
        <v>622</v>
      </c>
      <c r="D577" s="206">
        <v>240</v>
      </c>
      <c r="E577" s="198">
        <f>168000-5265.6-27081.5-10300</f>
        <v>125352.9</v>
      </c>
      <c r="F577" s="142"/>
      <c r="G577" s="272"/>
      <c r="H577" s="273"/>
      <c r="I577" s="274"/>
    </row>
    <row r="578" spans="1:9" s="86" customFormat="1" ht="31.5" x14ac:dyDescent="0.2">
      <c r="A578" s="11" t="s">
        <v>644</v>
      </c>
      <c r="B578" s="207" t="s">
        <v>54</v>
      </c>
      <c r="C578" s="207" t="s">
        <v>645</v>
      </c>
      <c r="D578" s="206"/>
      <c r="E578" s="198">
        <f>E579</f>
        <v>4000</v>
      </c>
      <c r="F578" s="118"/>
    </row>
    <row r="579" spans="1:9" s="86" customFormat="1" ht="31.5" x14ac:dyDescent="0.2">
      <c r="A579" s="39" t="s">
        <v>307</v>
      </c>
      <c r="B579" s="207" t="s">
        <v>54</v>
      </c>
      <c r="C579" s="207" t="s">
        <v>646</v>
      </c>
      <c r="D579" s="206"/>
      <c r="E579" s="198">
        <f>E580</f>
        <v>4000</v>
      </c>
      <c r="F579" s="118"/>
    </row>
    <row r="580" spans="1:9" s="86" customFormat="1" ht="31.5" x14ac:dyDescent="0.2">
      <c r="A580" s="5" t="s">
        <v>706</v>
      </c>
      <c r="B580" s="207" t="s">
        <v>54</v>
      </c>
      <c r="C580" s="207" t="s">
        <v>646</v>
      </c>
      <c r="D580" s="206">
        <v>240</v>
      </c>
      <c r="E580" s="198">
        <v>4000</v>
      </c>
      <c r="F580" s="118"/>
    </row>
    <row r="581" spans="1:9" s="86" customFormat="1" ht="63" x14ac:dyDescent="0.2">
      <c r="A581" s="11" t="s">
        <v>647</v>
      </c>
      <c r="B581" s="207" t="s">
        <v>54</v>
      </c>
      <c r="C581" s="207" t="s">
        <v>648</v>
      </c>
      <c r="D581" s="206"/>
      <c r="E581" s="198">
        <f>E582+E586+E584+E588</f>
        <v>100537.2</v>
      </c>
      <c r="F581" s="118"/>
    </row>
    <row r="582" spans="1:9" s="86" customFormat="1" ht="78.75" x14ac:dyDescent="0.2">
      <c r="A582" s="37" t="s">
        <v>1066</v>
      </c>
      <c r="B582" s="207" t="s">
        <v>54</v>
      </c>
      <c r="C582" s="207" t="s">
        <v>1065</v>
      </c>
      <c r="D582" s="206"/>
      <c r="E582" s="198">
        <f>E583</f>
        <v>6000</v>
      </c>
      <c r="F582" s="118"/>
    </row>
    <row r="583" spans="1:9" s="86" customFormat="1" ht="47.25" x14ac:dyDescent="0.2">
      <c r="A583" s="39" t="s">
        <v>682</v>
      </c>
      <c r="B583" s="207" t="s">
        <v>54</v>
      </c>
      <c r="C583" s="207" t="s">
        <v>1065</v>
      </c>
      <c r="D583" s="206">
        <v>810</v>
      </c>
      <c r="E583" s="198">
        <v>6000</v>
      </c>
      <c r="F583" s="118"/>
    </row>
    <row r="584" spans="1:9" s="86" customFormat="1" ht="94.5" x14ac:dyDescent="0.2">
      <c r="A584" s="39" t="s">
        <v>650</v>
      </c>
      <c r="B584" s="207" t="s">
        <v>54</v>
      </c>
      <c r="C584" s="207" t="s">
        <v>918</v>
      </c>
      <c r="D584" s="206"/>
      <c r="E584" s="198">
        <f>E585</f>
        <v>6663.2</v>
      </c>
      <c r="F584" s="118"/>
    </row>
    <row r="585" spans="1:9" s="86" customFormat="1" ht="47.25" x14ac:dyDescent="0.2">
      <c r="A585" s="11" t="s">
        <v>682</v>
      </c>
      <c r="B585" s="207" t="s">
        <v>54</v>
      </c>
      <c r="C585" s="207" t="s">
        <v>918</v>
      </c>
      <c r="D585" s="206" t="s">
        <v>37</v>
      </c>
      <c r="E585" s="198">
        <f>2113.2+4550</f>
        <v>6663.2</v>
      </c>
      <c r="F585" s="118"/>
    </row>
    <row r="586" spans="1:9" s="86" customFormat="1" ht="47.25" x14ac:dyDescent="0.2">
      <c r="A586" s="39" t="s">
        <v>746</v>
      </c>
      <c r="B586" s="207" t="s">
        <v>54</v>
      </c>
      <c r="C586" s="207" t="s">
        <v>747</v>
      </c>
      <c r="D586" s="206"/>
      <c r="E586" s="198">
        <f>E587</f>
        <v>77874</v>
      </c>
      <c r="F586" s="118"/>
    </row>
    <row r="587" spans="1:9" s="86" customFormat="1" ht="47.25" customHeight="1" x14ac:dyDescent="0.2">
      <c r="A587" s="11" t="s">
        <v>682</v>
      </c>
      <c r="B587" s="207" t="s">
        <v>54</v>
      </c>
      <c r="C587" s="207" t="s">
        <v>747</v>
      </c>
      <c r="D587" s="206">
        <v>810</v>
      </c>
      <c r="E587" s="198">
        <f>5000-126+73000</f>
        <v>77874</v>
      </c>
      <c r="F587" s="118"/>
      <c r="G587" s="272"/>
    </row>
    <row r="588" spans="1:9" s="86" customFormat="1" ht="47.25" customHeight="1" x14ac:dyDescent="0.2">
      <c r="A588" s="291" t="s">
        <v>1068</v>
      </c>
      <c r="B588" s="207" t="s">
        <v>54</v>
      </c>
      <c r="C588" s="207" t="s">
        <v>1067</v>
      </c>
      <c r="D588" s="206"/>
      <c r="E588" s="198">
        <f>E589</f>
        <v>10000</v>
      </c>
      <c r="F588" s="118"/>
      <c r="G588" s="272"/>
    </row>
    <row r="589" spans="1:9" s="86" customFormat="1" ht="47.25" customHeight="1" x14ac:dyDescent="0.2">
      <c r="A589" s="39" t="s">
        <v>682</v>
      </c>
      <c r="B589" s="207" t="s">
        <v>54</v>
      </c>
      <c r="C589" s="207" t="s">
        <v>1067</v>
      </c>
      <c r="D589" s="206">
        <v>810</v>
      </c>
      <c r="E589" s="198">
        <v>10000</v>
      </c>
      <c r="F589" s="118"/>
      <c r="G589" s="272"/>
    </row>
    <row r="590" spans="1:9" s="86" customFormat="1" ht="31.5" x14ac:dyDescent="0.2">
      <c r="A590" s="11" t="s">
        <v>188</v>
      </c>
      <c r="B590" s="206" t="s">
        <v>54</v>
      </c>
      <c r="C590" s="207" t="s">
        <v>279</v>
      </c>
      <c r="D590" s="206" t="s">
        <v>0</v>
      </c>
      <c r="E590" s="198">
        <f>E591</f>
        <v>177361.69999999998</v>
      </c>
      <c r="F590" s="118"/>
    </row>
    <row r="591" spans="1:9" s="86" customFormat="1" x14ac:dyDescent="0.2">
      <c r="A591" s="11" t="s">
        <v>189</v>
      </c>
      <c r="B591" s="206" t="s">
        <v>54</v>
      </c>
      <c r="C591" s="207" t="s">
        <v>280</v>
      </c>
      <c r="D591" s="206" t="s">
        <v>0</v>
      </c>
      <c r="E591" s="198">
        <f>E594+E592</f>
        <v>177361.69999999998</v>
      </c>
      <c r="F591" s="118"/>
    </row>
    <row r="592" spans="1:9" s="86" customFormat="1" ht="31.5" x14ac:dyDescent="0.2">
      <c r="A592" s="39" t="s">
        <v>722</v>
      </c>
      <c r="B592" s="206" t="s">
        <v>54</v>
      </c>
      <c r="C592" s="207" t="s">
        <v>1031</v>
      </c>
      <c r="D592" s="206"/>
      <c r="E592" s="198">
        <f>E593</f>
        <v>123042.9</v>
      </c>
      <c r="F592" s="118"/>
    </row>
    <row r="593" spans="1:6" s="86" customFormat="1" ht="31.5" x14ac:dyDescent="0.2">
      <c r="A593" s="39" t="s">
        <v>157</v>
      </c>
      <c r="B593" s="206" t="s">
        <v>54</v>
      </c>
      <c r="C593" s="207" t="s">
        <v>1031</v>
      </c>
      <c r="D593" s="206">
        <v>414</v>
      </c>
      <c r="E593" s="198">
        <f>109042.9+14000</f>
        <v>123042.9</v>
      </c>
      <c r="F593" s="118"/>
    </row>
    <row r="594" spans="1:6" s="86" customFormat="1" ht="47.25" x14ac:dyDescent="0.2">
      <c r="A594" s="11" t="s">
        <v>716</v>
      </c>
      <c r="B594" s="206" t="s">
        <v>54</v>
      </c>
      <c r="C594" s="207" t="s">
        <v>718</v>
      </c>
      <c r="D594" s="206"/>
      <c r="E594" s="198">
        <f>E595</f>
        <v>54318.799999999996</v>
      </c>
      <c r="F594" s="118"/>
    </row>
    <row r="595" spans="1:6" s="86" customFormat="1" ht="31.5" x14ac:dyDescent="0.2">
      <c r="A595" s="11" t="s">
        <v>157</v>
      </c>
      <c r="B595" s="206" t="s">
        <v>54</v>
      </c>
      <c r="C595" s="207" t="s">
        <v>718</v>
      </c>
      <c r="D595" s="206">
        <v>414</v>
      </c>
      <c r="E595" s="198">
        <f>48282.6-550+6586.2</f>
        <v>54318.799999999996</v>
      </c>
      <c r="F595" s="118"/>
    </row>
    <row r="596" spans="1:6" s="86" customFormat="1" ht="47.25" x14ac:dyDescent="0.2">
      <c r="A596" s="11" t="s">
        <v>176</v>
      </c>
      <c r="B596" s="206" t="s">
        <v>54</v>
      </c>
      <c r="C596" s="207" t="s">
        <v>271</v>
      </c>
      <c r="D596" s="206" t="s">
        <v>0</v>
      </c>
      <c r="E596" s="198">
        <f>E597</f>
        <v>196172.5</v>
      </c>
      <c r="F596" s="118"/>
    </row>
    <row r="597" spans="1:6" s="86" customFormat="1" ht="31.5" x14ac:dyDescent="0.2">
      <c r="A597" s="11" t="s">
        <v>177</v>
      </c>
      <c r="B597" s="206" t="s">
        <v>54</v>
      </c>
      <c r="C597" s="207" t="s">
        <v>281</v>
      </c>
      <c r="D597" s="206" t="s">
        <v>0</v>
      </c>
      <c r="E597" s="198">
        <f>E598+E603</f>
        <v>196172.5</v>
      </c>
      <c r="F597" s="118"/>
    </row>
    <row r="598" spans="1:6" s="86" customFormat="1" ht="47.25" x14ac:dyDescent="0.2">
      <c r="A598" s="5" t="s">
        <v>276</v>
      </c>
      <c r="B598" s="206" t="s">
        <v>54</v>
      </c>
      <c r="C598" s="207" t="s">
        <v>282</v>
      </c>
      <c r="D598" s="206" t="s">
        <v>0</v>
      </c>
      <c r="E598" s="198">
        <f>E599+E601</f>
        <v>177093.5</v>
      </c>
      <c r="F598" s="118"/>
    </row>
    <row r="599" spans="1:6" s="86" customFormat="1" ht="30.75" customHeight="1" x14ac:dyDescent="0.2">
      <c r="A599" s="5" t="s">
        <v>722</v>
      </c>
      <c r="B599" s="206" t="s">
        <v>54</v>
      </c>
      <c r="C599" s="207" t="s">
        <v>824</v>
      </c>
      <c r="D599" s="206"/>
      <c r="E599" s="198">
        <f>E600</f>
        <v>114510.2</v>
      </c>
      <c r="F599" s="118"/>
    </row>
    <row r="600" spans="1:6" s="86" customFormat="1" ht="31.5" x14ac:dyDescent="0.2">
      <c r="A600" s="11" t="s">
        <v>157</v>
      </c>
      <c r="B600" s="206" t="s">
        <v>54</v>
      </c>
      <c r="C600" s="207" t="s">
        <v>824</v>
      </c>
      <c r="D600" s="206">
        <v>414</v>
      </c>
      <c r="E600" s="198">
        <v>114510.2</v>
      </c>
      <c r="F600" s="266"/>
    </row>
    <row r="601" spans="1:6" s="86" customFormat="1" ht="47.25" x14ac:dyDescent="0.2">
      <c r="A601" s="292" t="s">
        <v>277</v>
      </c>
      <c r="B601" s="206" t="s">
        <v>54</v>
      </c>
      <c r="C601" s="207" t="s">
        <v>809</v>
      </c>
      <c r="D601" s="206"/>
      <c r="E601" s="198">
        <f>E602</f>
        <v>62583.3</v>
      </c>
      <c r="F601" s="118"/>
    </row>
    <row r="602" spans="1:6" s="86" customFormat="1" ht="31.5" x14ac:dyDescent="0.2">
      <c r="A602" s="11" t="s">
        <v>157</v>
      </c>
      <c r="B602" s="206" t="s">
        <v>54</v>
      </c>
      <c r="C602" s="207" t="s">
        <v>809</v>
      </c>
      <c r="D602" s="206">
        <v>414</v>
      </c>
      <c r="E602" s="198">
        <f>49075.8-2540+2540+100+11907.5+1500</f>
        <v>62583.3</v>
      </c>
      <c r="F602" s="275"/>
    </row>
    <row r="603" spans="1:6" s="86" customFormat="1" ht="31.5" x14ac:dyDescent="0.2">
      <c r="A603" s="5" t="s">
        <v>278</v>
      </c>
      <c r="B603" s="206" t="s">
        <v>54</v>
      </c>
      <c r="C603" s="207" t="s">
        <v>283</v>
      </c>
      <c r="D603" s="206" t="s">
        <v>0</v>
      </c>
      <c r="E603" s="198">
        <f>E608+E604+E606</f>
        <v>19079</v>
      </c>
      <c r="F603" s="275"/>
    </row>
    <row r="604" spans="1:6" s="86" customFormat="1" ht="31.5" x14ac:dyDescent="0.2">
      <c r="A604" s="292" t="s">
        <v>1032</v>
      </c>
      <c r="B604" s="197" t="s">
        <v>54</v>
      </c>
      <c r="C604" s="207" t="s">
        <v>1034</v>
      </c>
      <c r="D604" s="268"/>
      <c r="E604" s="194">
        <f>E605</f>
        <v>12510.6</v>
      </c>
      <c r="F604" s="276"/>
    </row>
    <row r="605" spans="1:6" s="86" customFormat="1" ht="47.25" x14ac:dyDescent="0.2">
      <c r="A605" s="11" t="s">
        <v>682</v>
      </c>
      <c r="B605" s="196" t="s">
        <v>54</v>
      </c>
      <c r="C605" s="207" t="s">
        <v>1034</v>
      </c>
      <c r="D605" s="268">
        <v>810</v>
      </c>
      <c r="E605" s="194">
        <v>12510.6</v>
      </c>
      <c r="F605" s="276"/>
    </row>
    <row r="606" spans="1:6" s="86" customFormat="1" ht="31.5" x14ac:dyDescent="0.2">
      <c r="A606" s="292" t="s">
        <v>1033</v>
      </c>
      <c r="B606" s="196" t="s">
        <v>54</v>
      </c>
      <c r="C606" s="207" t="s">
        <v>1035</v>
      </c>
      <c r="D606" s="268"/>
      <c r="E606" s="194">
        <f>E607</f>
        <v>126</v>
      </c>
      <c r="F606" s="276"/>
    </row>
    <row r="607" spans="1:6" s="86" customFormat="1" ht="47.25" x14ac:dyDescent="0.2">
      <c r="A607" s="11" t="s">
        <v>682</v>
      </c>
      <c r="B607" s="197" t="s">
        <v>54</v>
      </c>
      <c r="C607" s="207" t="s">
        <v>1035</v>
      </c>
      <c r="D607" s="268">
        <v>810</v>
      </c>
      <c r="E607" s="194">
        <v>126</v>
      </c>
      <c r="F607" s="276"/>
    </row>
    <row r="608" spans="1:6" s="86" customFormat="1" ht="47.25" x14ac:dyDescent="0.2">
      <c r="A608" s="292" t="s">
        <v>430</v>
      </c>
      <c r="B608" s="206" t="s">
        <v>54</v>
      </c>
      <c r="C608" s="207" t="s">
        <v>810</v>
      </c>
      <c r="D608" s="206"/>
      <c r="E608" s="198">
        <f>E609</f>
        <v>6442.4</v>
      </c>
      <c r="F608" s="275"/>
    </row>
    <row r="609" spans="1:7" s="86" customFormat="1" ht="31.5" x14ac:dyDescent="0.2">
      <c r="A609" s="11" t="s">
        <v>157</v>
      </c>
      <c r="B609" s="206" t="s">
        <v>54</v>
      </c>
      <c r="C609" s="207" t="s">
        <v>810</v>
      </c>
      <c r="D609" s="206">
        <v>414</v>
      </c>
      <c r="E609" s="198">
        <f>10812.5-4810.7+1940.6-1500</f>
        <v>6442.4</v>
      </c>
      <c r="F609" s="266"/>
    </row>
    <row r="610" spans="1:7" s="86" customFormat="1" x14ac:dyDescent="0.2">
      <c r="A610" s="20" t="s">
        <v>55</v>
      </c>
      <c r="B610" s="287" t="s">
        <v>56</v>
      </c>
      <c r="C610" s="288" t="s">
        <v>0</v>
      </c>
      <c r="D610" s="287" t="s">
        <v>0</v>
      </c>
      <c r="E610" s="289">
        <f>E611+E653+E648</f>
        <v>731030.1</v>
      </c>
      <c r="F610" s="118"/>
    </row>
    <row r="611" spans="1:7" s="86" customFormat="1" ht="47.25" x14ac:dyDescent="0.2">
      <c r="A611" s="11" t="s">
        <v>165</v>
      </c>
      <c r="B611" s="206" t="s">
        <v>56</v>
      </c>
      <c r="C611" s="207" t="s">
        <v>269</v>
      </c>
      <c r="D611" s="206" t="s">
        <v>0</v>
      </c>
      <c r="E611" s="198">
        <f>E612+E615+E626+E634+E631+E644+E641</f>
        <v>567094</v>
      </c>
      <c r="F611" s="118"/>
    </row>
    <row r="612" spans="1:7" s="86" customFormat="1" x14ac:dyDescent="0.2">
      <c r="A612" s="11" t="s">
        <v>676</v>
      </c>
      <c r="B612" s="206" t="s">
        <v>56</v>
      </c>
      <c r="C612" s="207" t="s">
        <v>314</v>
      </c>
      <c r="D612" s="206" t="s">
        <v>0</v>
      </c>
      <c r="E612" s="198">
        <f>E613</f>
        <v>30500</v>
      </c>
      <c r="F612" s="279"/>
      <c r="G612" s="293"/>
    </row>
    <row r="613" spans="1:7" s="86" customFormat="1" ht="31.5" x14ac:dyDescent="0.2">
      <c r="A613" s="39" t="s">
        <v>307</v>
      </c>
      <c r="B613" s="206" t="s">
        <v>56</v>
      </c>
      <c r="C613" s="207" t="s">
        <v>317</v>
      </c>
      <c r="D613" s="206"/>
      <c r="E613" s="198">
        <f>E614</f>
        <v>30500</v>
      </c>
      <c r="F613" s="279"/>
      <c r="G613" s="293"/>
    </row>
    <row r="614" spans="1:7" s="86" customFormat="1" ht="31.5" x14ac:dyDescent="0.2">
      <c r="A614" s="5" t="s">
        <v>706</v>
      </c>
      <c r="B614" s="206" t="s">
        <v>56</v>
      </c>
      <c r="C614" s="207" t="s">
        <v>317</v>
      </c>
      <c r="D614" s="206">
        <v>240</v>
      </c>
      <c r="E614" s="198">
        <f>500+10000+20000</f>
        <v>30500</v>
      </c>
      <c r="F614" s="118"/>
    </row>
    <row r="615" spans="1:7" s="86" customFormat="1" x14ac:dyDescent="0.2">
      <c r="A615" s="11" t="s">
        <v>166</v>
      </c>
      <c r="B615" s="206" t="s">
        <v>56</v>
      </c>
      <c r="C615" s="207" t="s">
        <v>270</v>
      </c>
      <c r="D615" s="206" t="s">
        <v>0</v>
      </c>
      <c r="E615" s="198">
        <f>E616+E618+E622+E624+E620</f>
        <v>461000</v>
      </c>
      <c r="F615" s="118"/>
    </row>
    <row r="616" spans="1:7" s="86" customFormat="1" ht="31.5" x14ac:dyDescent="0.2">
      <c r="A616" s="5" t="s">
        <v>302</v>
      </c>
      <c r="B616" s="206" t="s">
        <v>56</v>
      </c>
      <c r="C616" s="207" t="s">
        <v>318</v>
      </c>
      <c r="D616" s="206"/>
      <c r="E616" s="198">
        <f>E617</f>
        <v>107000</v>
      </c>
      <c r="F616" s="118"/>
    </row>
    <row r="617" spans="1:7" s="86" customFormat="1" x14ac:dyDescent="0.2">
      <c r="A617" s="11" t="s">
        <v>944</v>
      </c>
      <c r="B617" s="206" t="s">
        <v>56</v>
      </c>
      <c r="C617" s="207" t="s">
        <v>318</v>
      </c>
      <c r="D617" s="206">
        <v>610</v>
      </c>
      <c r="E617" s="198">
        <f>40000+67000</f>
        <v>107000</v>
      </c>
      <c r="F617" s="118"/>
    </row>
    <row r="618" spans="1:7" s="86" customFormat="1" ht="31.5" x14ac:dyDescent="0.2">
      <c r="A618" s="39" t="s">
        <v>307</v>
      </c>
      <c r="B618" s="206" t="s">
        <v>56</v>
      </c>
      <c r="C618" s="207" t="s">
        <v>319</v>
      </c>
      <c r="D618" s="206"/>
      <c r="E618" s="198">
        <f>E619</f>
        <v>75818.200000000012</v>
      </c>
      <c r="F618" s="118"/>
    </row>
    <row r="619" spans="1:7" s="86" customFormat="1" ht="31.5" x14ac:dyDescent="0.2">
      <c r="A619" s="5" t="s">
        <v>706</v>
      </c>
      <c r="B619" s="206" t="s">
        <v>56</v>
      </c>
      <c r="C619" s="207" t="s">
        <v>319</v>
      </c>
      <c r="D619" s="206">
        <v>240</v>
      </c>
      <c r="E619" s="198">
        <f>65818.2+15816.1+8000+10000-23816.1</f>
        <v>75818.200000000012</v>
      </c>
      <c r="F619" s="266"/>
    </row>
    <row r="620" spans="1:7" s="86" customFormat="1" ht="47.25" x14ac:dyDescent="0.2">
      <c r="A620" s="294" t="s">
        <v>866</v>
      </c>
      <c r="B620" s="206" t="s">
        <v>56</v>
      </c>
      <c r="C620" s="197" t="s">
        <v>865</v>
      </c>
      <c r="D620" s="206"/>
      <c r="E620" s="198">
        <f>E621</f>
        <v>767.59999999999991</v>
      </c>
      <c r="F620" s="118"/>
    </row>
    <row r="621" spans="1:7" s="86" customFormat="1" ht="47.25" x14ac:dyDescent="0.2">
      <c r="A621" s="11" t="s">
        <v>682</v>
      </c>
      <c r="B621" s="206" t="s">
        <v>56</v>
      </c>
      <c r="C621" s="197" t="s">
        <v>865</v>
      </c>
      <c r="D621" s="206">
        <v>810</v>
      </c>
      <c r="E621" s="198">
        <f>181.8+585.8</f>
        <v>767.59999999999991</v>
      </c>
      <c r="F621" s="118"/>
    </row>
    <row r="622" spans="1:7" s="86" customFormat="1" ht="78.75" x14ac:dyDescent="0.2">
      <c r="A622" s="5" t="s">
        <v>743</v>
      </c>
      <c r="B622" s="206" t="s">
        <v>56</v>
      </c>
      <c r="C622" s="207" t="s">
        <v>320</v>
      </c>
      <c r="D622" s="206"/>
      <c r="E622" s="198">
        <f>E623</f>
        <v>161000</v>
      </c>
      <c r="F622" s="118"/>
    </row>
    <row r="623" spans="1:7" s="86" customFormat="1" ht="33.75" customHeight="1" x14ac:dyDescent="0.2">
      <c r="A623" s="11" t="s">
        <v>682</v>
      </c>
      <c r="B623" s="206" t="s">
        <v>56</v>
      </c>
      <c r="C623" s="207" t="s">
        <v>320</v>
      </c>
      <c r="D623" s="206">
        <v>810</v>
      </c>
      <c r="E623" s="198">
        <f>61000+100000</f>
        <v>161000</v>
      </c>
      <c r="F623" s="118"/>
    </row>
    <row r="624" spans="1:7" s="86" customFormat="1" ht="94.5" x14ac:dyDescent="0.2">
      <c r="A624" s="37" t="s">
        <v>1083</v>
      </c>
      <c r="B624" s="206" t="s">
        <v>56</v>
      </c>
      <c r="C624" s="207" t="s">
        <v>321</v>
      </c>
      <c r="D624" s="206"/>
      <c r="E624" s="198">
        <f>E625</f>
        <v>116414.2</v>
      </c>
      <c r="F624" s="118"/>
    </row>
    <row r="625" spans="1:8" s="86" customFormat="1" ht="47.25" x14ac:dyDescent="0.2">
      <c r="A625" s="11" t="s">
        <v>682</v>
      </c>
      <c r="B625" s="206" t="s">
        <v>56</v>
      </c>
      <c r="C625" s="207" t="s">
        <v>321</v>
      </c>
      <c r="D625" s="206">
        <v>810</v>
      </c>
      <c r="E625" s="198">
        <f>57000-585.8+46900+13100</f>
        <v>116414.2</v>
      </c>
      <c r="F625" s="118"/>
    </row>
    <row r="626" spans="1:8" s="86" customFormat="1" x14ac:dyDescent="0.2">
      <c r="A626" s="11" t="s">
        <v>190</v>
      </c>
      <c r="B626" s="206" t="s">
        <v>56</v>
      </c>
      <c r="C626" s="207" t="s">
        <v>315</v>
      </c>
      <c r="D626" s="206" t="s">
        <v>0</v>
      </c>
      <c r="E626" s="198">
        <f>E627+E629</f>
        <v>42000</v>
      </c>
      <c r="F626" s="118"/>
    </row>
    <row r="627" spans="1:8" s="86" customFormat="1" ht="31.5" x14ac:dyDescent="0.2">
      <c r="A627" s="5" t="s">
        <v>302</v>
      </c>
      <c r="B627" s="206" t="s">
        <v>56</v>
      </c>
      <c r="C627" s="207" t="s">
        <v>322</v>
      </c>
      <c r="D627" s="206"/>
      <c r="E627" s="198">
        <f>E628</f>
        <v>38000</v>
      </c>
      <c r="F627" s="118"/>
    </row>
    <row r="628" spans="1:8" s="86" customFormat="1" x14ac:dyDescent="0.2">
      <c r="A628" s="11" t="s">
        <v>944</v>
      </c>
      <c r="B628" s="206" t="s">
        <v>56</v>
      </c>
      <c r="C628" s="207" t="s">
        <v>322</v>
      </c>
      <c r="D628" s="206">
        <v>610</v>
      </c>
      <c r="E628" s="198">
        <v>38000</v>
      </c>
      <c r="F628" s="118"/>
    </row>
    <row r="629" spans="1:8" s="86" customFormat="1" ht="31.5" x14ac:dyDescent="0.2">
      <c r="A629" s="39" t="s">
        <v>307</v>
      </c>
      <c r="B629" s="206" t="s">
        <v>56</v>
      </c>
      <c r="C629" s="207" t="s">
        <v>323</v>
      </c>
      <c r="D629" s="206"/>
      <c r="E629" s="198">
        <f>E630</f>
        <v>4000</v>
      </c>
      <c r="F629" s="118"/>
    </row>
    <row r="630" spans="1:8" s="86" customFormat="1" ht="31.5" x14ac:dyDescent="0.2">
      <c r="A630" s="5" t="s">
        <v>706</v>
      </c>
      <c r="B630" s="206" t="s">
        <v>56</v>
      </c>
      <c r="C630" s="207" t="s">
        <v>323</v>
      </c>
      <c r="D630" s="206">
        <v>240</v>
      </c>
      <c r="E630" s="198">
        <v>4000</v>
      </c>
      <c r="F630" s="118"/>
    </row>
    <row r="631" spans="1:8" s="86" customFormat="1" ht="31.5" x14ac:dyDescent="0.2">
      <c r="A631" s="11" t="s">
        <v>804</v>
      </c>
      <c r="B631" s="206" t="s">
        <v>56</v>
      </c>
      <c r="C631" s="207" t="s">
        <v>805</v>
      </c>
      <c r="D631" s="206" t="s">
        <v>0</v>
      </c>
      <c r="E631" s="198">
        <f>E632</f>
        <v>7224</v>
      </c>
      <c r="F631" s="118"/>
    </row>
    <row r="632" spans="1:8" s="86" customFormat="1" ht="63" x14ac:dyDescent="0.2">
      <c r="A632" s="292" t="s">
        <v>806</v>
      </c>
      <c r="B632" s="206" t="s">
        <v>56</v>
      </c>
      <c r="C632" s="207" t="s">
        <v>807</v>
      </c>
      <c r="D632" s="206"/>
      <c r="E632" s="198">
        <f>E633</f>
        <v>7224</v>
      </c>
      <c r="F632" s="118"/>
    </row>
    <row r="633" spans="1:8" s="86" customFormat="1" x14ac:dyDescent="0.2">
      <c r="A633" s="11" t="s">
        <v>944</v>
      </c>
      <c r="B633" s="206" t="s">
        <v>56</v>
      </c>
      <c r="C633" s="207" t="s">
        <v>807</v>
      </c>
      <c r="D633" s="206">
        <v>610</v>
      </c>
      <c r="E633" s="198">
        <v>7224</v>
      </c>
      <c r="F633" s="118"/>
    </row>
    <row r="634" spans="1:8" s="86" customFormat="1" ht="31.5" x14ac:dyDescent="0.2">
      <c r="A634" s="11" t="s">
        <v>191</v>
      </c>
      <c r="B634" s="206" t="s">
        <v>56</v>
      </c>
      <c r="C634" s="207" t="s">
        <v>316</v>
      </c>
      <c r="D634" s="206" t="s">
        <v>0</v>
      </c>
      <c r="E634" s="198">
        <f>E635+E637+E640</f>
        <v>13370</v>
      </c>
      <c r="F634" s="118"/>
    </row>
    <row r="635" spans="1:8" s="86" customFormat="1" ht="31.5" x14ac:dyDescent="0.2">
      <c r="A635" s="5" t="s">
        <v>302</v>
      </c>
      <c r="B635" s="206" t="s">
        <v>56</v>
      </c>
      <c r="C635" s="207" t="s">
        <v>324</v>
      </c>
      <c r="D635" s="206"/>
      <c r="E635" s="198">
        <f>E636</f>
        <v>2100</v>
      </c>
      <c r="F635" s="118"/>
    </row>
    <row r="636" spans="1:8" s="86" customFormat="1" x14ac:dyDescent="0.2">
      <c r="A636" s="11" t="s">
        <v>944</v>
      </c>
      <c r="B636" s="206" t="s">
        <v>56</v>
      </c>
      <c r="C636" s="207" t="s">
        <v>324</v>
      </c>
      <c r="D636" s="206">
        <v>610</v>
      </c>
      <c r="E636" s="198">
        <v>2100</v>
      </c>
      <c r="F636" s="118"/>
    </row>
    <row r="637" spans="1:8" s="86" customFormat="1" ht="31.5" x14ac:dyDescent="0.2">
      <c r="A637" s="39" t="s">
        <v>307</v>
      </c>
      <c r="B637" s="206" t="s">
        <v>56</v>
      </c>
      <c r="C637" s="207" t="s">
        <v>325</v>
      </c>
      <c r="D637" s="206"/>
      <c r="E637" s="198">
        <f>E638</f>
        <v>800</v>
      </c>
      <c r="F637" s="118"/>
    </row>
    <row r="638" spans="1:8" s="86" customFormat="1" ht="31.5" x14ac:dyDescent="0.2">
      <c r="A638" s="5" t="s">
        <v>706</v>
      </c>
      <c r="B638" s="206" t="s">
        <v>56</v>
      </c>
      <c r="C638" s="207" t="s">
        <v>325</v>
      </c>
      <c r="D638" s="206">
        <v>240</v>
      </c>
      <c r="E638" s="198">
        <f>300+500-300+300</f>
        <v>800</v>
      </c>
      <c r="F638" s="87"/>
      <c r="G638" s="277"/>
      <c r="H638" s="278"/>
    </row>
    <row r="639" spans="1:8" s="86" customFormat="1" ht="94.5" x14ac:dyDescent="0.2">
      <c r="A639" s="37" t="s">
        <v>1083</v>
      </c>
      <c r="B639" s="206" t="s">
        <v>56</v>
      </c>
      <c r="C639" s="207" t="s">
        <v>864</v>
      </c>
      <c r="D639" s="206"/>
      <c r="E639" s="198">
        <f>E640</f>
        <v>10470</v>
      </c>
      <c r="F639" s="118"/>
    </row>
    <row r="640" spans="1:8" s="86" customFormat="1" ht="47.25" x14ac:dyDescent="0.2">
      <c r="A640" s="11" t="s">
        <v>682</v>
      </c>
      <c r="B640" s="206" t="s">
        <v>56</v>
      </c>
      <c r="C640" s="207" t="s">
        <v>864</v>
      </c>
      <c r="D640" s="206">
        <v>810</v>
      </c>
      <c r="E640" s="198">
        <v>10470</v>
      </c>
      <c r="F640" s="118"/>
    </row>
    <row r="641" spans="1:7" s="86" customFormat="1" ht="31.5" x14ac:dyDescent="0.2">
      <c r="A641" s="39" t="s">
        <v>192</v>
      </c>
      <c r="B641" s="196" t="s">
        <v>56</v>
      </c>
      <c r="C641" s="197" t="s">
        <v>308</v>
      </c>
      <c r="D641" s="196" t="s">
        <v>0</v>
      </c>
      <c r="E641" s="198">
        <f>E642</f>
        <v>13000</v>
      </c>
      <c r="F641" s="118"/>
    </row>
    <row r="642" spans="1:7" s="86" customFormat="1" ht="31.5" x14ac:dyDescent="0.2">
      <c r="A642" s="37" t="s">
        <v>307</v>
      </c>
      <c r="B642" s="196" t="s">
        <v>56</v>
      </c>
      <c r="C642" s="197" t="s">
        <v>309</v>
      </c>
      <c r="D642" s="196"/>
      <c r="E642" s="198">
        <f>E643</f>
        <v>13000</v>
      </c>
      <c r="F642" s="118"/>
    </row>
    <row r="643" spans="1:7" s="86" customFormat="1" ht="31.5" x14ac:dyDescent="0.2">
      <c r="A643" s="5" t="s">
        <v>706</v>
      </c>
      <c r="B643" s="206" t="s">
        <v>56</v>
      </c>
      <c r="C643" s="207" t="s">
        <v>309</v>
      </c>
      <c r="D643" s="206">
        <v>240</v>
      </c>
      <c r="E643" s="198">
        <v>13000</v>
      </c>
      <c r="F643" s="118"/>
    </row>
    <row r="644" spans="1:7" s="86" customFormat="1" ht="31.5" x14ac:dyDescent="0.2">
      <c r="A644" s="39" t="s">
        <v>906</v>
      </c>
      <c r="B644" s="197" t="s">
        <v>56</v>
      </c>
      <c r="C644" s="197" t="s">
        <v>888</v>
      </c>
      <c r="D644" s="196"/>
      <c r="E644" s="198">
        <f>E645</f>
        <v>0</v>
      </c>
      <c r="F644" s="118"/>
    </row>
    <row r="645" spans="1:7" s="86" customFormat="1" ht="47.25" x14ac:dyDescent="0.2">
      <c r="A645" s="91" t="s">
        <v>895</v>
      </c>
      <c r="B645" s="206" t="s">
        <v>56</v>
      </c>
      <c r="C645" s="207" t="s">
        <v>887</v>
      </c>
      <c r="D645" s="206"/>
      <c r="E645" s="198">
        <f>E646+E647</f>
        <v>0</v>
      </c>
      <c r="F645" s="118"/>
    </row>
    <row r="646" spans="1:7" s="86" customFormat="1" ht="31.5" x14ac:dyDescent="0.2">
      <c r="A646" s="5" t="s">
        <v>706</v>
      </c>
      <c r="B646" s="206" t="s">
        <v>56</v>
      </c>
      <c r="C646" s="207" t="s">
        <v>887</v>
      </c>
      <c r="D646" s="206">
        <v>240</v>
      </c>
      <c r="E646" s="198">
        <f>2000-2000</f>
        <v>0</v>
      </c>
      <c r="F646" s="279"/>
    </row>
    <row r="647" spans="1:7" s="86" customFormat="1" x14ac:dyDescent="0.2">
      <c r="A647" s="11" t="s">
        <v>945</v>
      </c>
      <c r="B647" s="197" t="s">
        <v>56</v>
      </c>
      <c r="C647" s="197" t="s">
        <v>887</v>
      </c>
      <c r="D647" s="206">
        <v>620</v>
      </c>
      <c r="E647" s="198">
        <f>3000-3000</f>
        <v>0</v>
      </c>
      <c r="F647" s="280"/>
      <c r="G647" s="281"/>
    </row>
    <row r="648" spans="1:7" s="86" customFormat="1" ht="47.25" x14ac:dyDescent="0.2">
      <c r="A648" s="11" t="s">
        <v>1059</v>
      </c>
      <c r="B648" s="197" t="s">
        <v>56</v>
      </c>
      <c r="C648" s="197" t="s">
        <v>1058</v>
      </c>
      <c r="D648" s="206"/>
      <c r="E648" s="198">
        <f>E649</f>
        <v>28816.1</v>
      </c>
      <c r="F648" s="100"/>
    </row>
    <row r="649" spans="1:7" s="86" customFormat="1" ht="31.5" x14ac:dyDescent="0.2">
      <c r="A649" s="11" t="s">
        <v>906</v>
      </c>
      <c r="B649" s="197" t="s">
        <v>56</v>
      </c>
      <c r="C649" s="197" t="s">
        <v>1060</v>
      </c>
      <c r="D649" s="206"/>
      <c r="E649" s="198">
        <f>E650</f>
        <v>28816.1</v>
      </c>
      <c r="F649" s="100"/>
    </row>
    <row r="650" spans="1:7" s="86" customFormat="1" ht="63" x14ac:dyDescent="0.2">
      <c r="A650" s="11" t="s">
        <v>1062</v>
      </c>
      <c r="B650" s="197" t="s">
        <v>56</v>
      </c>
      <c r="C650" s="197" t="s">
        <v>1061</v>
      </c>
      <c r="D650" s="206"/>
      <c r="E650" s="198">
        <f>E651+E652</f>
        <v>28816.1</v>
      </c>
      <c r="F650" s="100"/>
    </row>
    <row r="651" spans="1:7" s="86" customFormat="1" ht="31.5" x14ac:dyDescent="0.2">
      <c r="A651" s="11" t="s">
        <v>706</v>
      </c>
      <c r="B651" s="197" t="s">
        <v>56</v>
      </c>
      <c r="C651" s="197" t="s">
        <v>1061</v>
      </c>
      <c r="D651" s="206">
        <v>240</v>
      </c>
      <c r="E651" s="198">
        <v>25816.1</v>
      </c>
      <c r="F651" s="100"/>
    </row>
    <row r="652" spans="1:7" s="86" customFormat="1" x14ac:dyDescent="0.2">
      <c r="A652" s="11" t="s">
        <v>945</v>
      </c>
      <c r="B652" s="197" t="s">
        <v>56</v>
      </c>
      <c r="C652" s="197" t="s">
        <v>1061</v>
      </c>
      <c r="D652" s="206">
        <v>620</v>
      </c>
      <c r="E652" s="198">
        <v>3000</v>
      </c>
      <c r="F652" s="280"/>
      <c r="G652" s="281"/>
    </row>
    <row r="653" spans="1:7" s="86" customFormat="1" ht="47.25" x14ac:dyDescent="0.2">
      <c r="A653" s="11" t="s">
        <v>180</v>
      </c>
      <c r="B653" s="206" t="s">
        <v>56</v>
      </c>
      <c r="C653" s="207" t="s">
        <v>326</v>
      </c>
      <c r="D653" s="206" t="s">
        <v>0</v>
      </c>
      <c r="E653" s="198">
        <f>E654+E658</f>
        <v>135120</v>
      </c>
      <c r="F653" s="118"/>
    </row>
    <row r="654" spans="1:7" s="86" customFormat="1" ht="47.25" x14ac:dyDescent="0.2">
      <c r="A654" s="11" t="s">
        <v>193</v>
      </c>
      <c r="B654" s="206" t="s">
        <v>56</v>
      </c>
      <c r="C654" s="207" t="s">
        <v>327</v>
      </c>
      <c r="D654" s="206" t="s">
        <v>0</v>
      </c>
      <c r="E654" s="198">
        <f>E655</f>
        <v>130000</v>
      </c>
      <c r="F654" s="118"/>
    </row>
    <row r="655" spans="1:7" s="86" customFormat="1" x14ac:dyDescent="0.2">
      <c r="A655" s="5" t="s">
        <v>194</v>
      </c>
      <c r="B655" s="206" t="s">
        <v>56</v>
      </c>
      <c r="C655" s="207" t="s">
        <v>424</v>
      </c>
      <c r="D655" s="206" t="s">
        <v>0</v>
      </c>
      <c r="E655" s="198">
        <f>E656</f>
        <v>130000</v>
      </c>
      <c r="F655" s="118"/>
    </row>
    <row r="656" spans="1:7" s="86" customFormat="1" x14ac:dyDescent="0.2">
      <c r="A656" s="5" t="s">
        <v>376</v>
      </c>
      <c r="B656" s="206" t="s">
        <v>56</v>
      </c>
      <c r="C656" s="207" t="s">
        <v>425</v>
      </c>
      <c r="D656" s="206"/>
      <c r="E656" s="198">
        <f>E657</f>
        <v>130000</v>
      </c>
      <c r="F656" s="118"/>
    </row>
    <row r="657" spans="1:7" s="86" customFormat="1" ht="31.5" x14ac:dyDescent="0.2">
      <c r="A657" s="11" t="s">
        <v>157</v>
      </c>
      <c r="B657" s="206" t="s">
        <v>56</v>
      </c>
      <c r="C657" s="207" t="s">
        <v>425</v>
      </c>
      <c r="D657" s="206" t="s">
        <v>158</v>
      </c>
      <c r="E657" s="198">
        <v>130000</v>
      </c>
      <c r="F657" s="266"/>
    </row>
    <row r="658" spans="1:7" s="86" customFormat="1" ht="63" x14ac:dyDescent="0.2">
      <c r="A658" s="11" t="s">
        <v>195</v>
      </c>
      <c r="B658" s="206" t="s">
        <v>56</v>
      </c>
      <c r="C658" s="207" t="s">
        <v>611</v>
      </c>
      <c r="D658" s="206" t="s">
        <v>0</v>
      </c>
      <c r="E658" s="198">
        <f>E659</f>
        <v>5120</v>
      </c>
      <c r="F658" s="118"/>
    </row>
    <row r="659" spans="1:7" s="86" customFormat="1" ht="47.25" x14ac:dyDescent="0.2">
      <c r="A659" s="11" t="s">
        <v>196</v>
      </c>
      <c r="B659" s="206" t="s">
        <v>56</v>
      </c>
      <c r="C659" s="207" t="s">
        <v>612</v>
      </c>
      <c r="D659" s="206" t="s">
        <v>0</v>
      </c>
      <c r="E659" s="198">
        <f>E660</f>
        <v>5120</v>
      </c>
      <c r="F659" s="118"/>
    </row>
    <row r="660" spans="1:7" s="86" customFormat="1" ht="31.5" x14ac:dyDescent="0.2">
      <c r="A660" s="39" t="s">
        <v>307</v>
      </c>
      <c r="B660" s="206" t="s">
        <v>56</v>
      </c>
      <c r="C660" s="207" t="s">
        <v>613</v>
      </c>
      <c r="D660" s="206"/>
      <c r="E660" s="198">
        <f>E661</f>
        <v>5120</v>
      </c>
      <c r="F660" s="118"/>
    </row>
    <row r="661" spans="1:7" s="86" customFormat="1" ht="31.5" x14ac:dyDescent="0.2">
      <c r="A661" s="5" t="s">
        <v>706</v>
      </c>
      <c r="B661" s="206" t="s">
        <v>56</v>
      </c>
      <c r="C661" s="207" t="s">
        <v>613</v>
      </c>
      <c r="D661" s="206">
        <v>240</v>
      </c>
      <c r="E661" s="198">
        <f>4120+1000</f>
        <v>5120</v>
      </c>
      <c r="F661" s="87"/>
      <c r="G661" s="277"/>
    </row>
    <row r="662" spans="1:7" s="86" customFormat="1" x14ac:dyDescent="0.2">
      <c r="A662" s="20" t="s">
        <v>57</v>
      </c>
      <c r="B662" s="287" t="s">
        <v>58</v>
      </c>
      <c r="C662" s="288" t="s">
        <v>0</v>
      </c>
      <c r="D662" s="287" t="s">
        <v>0</v>
      </c>
      <c r="E662" s="289">
        <f>E663+E673+E678+E669</f>
        <v>206750.1</v>
      </c>
      <c r="F662" s="118"/>
    </row>
    <row r="663" spans="1:7" s="86" customFormat="1" ht="47.25" x14ac:dyDescent="0.2">
      <c r="A663" s="11" t="s">
        <v>112</v>
      </c>
      <c r="B663" s="206" t="s">
        <v>58</v>
      </c>
      <c r="C663" s="207" t="s">
        <v>329</v>
      </c>
      <c r="D663" s="206" t="s">
        <v>0</v>
      </c>
      <c r="E663" s="198">
        <f>E664</f>
        <v>25</v>
      </c>
      <c r="F663" s="118"/>
    </row>
    <row r="664" spans="1:7" s="86" customFormat="1" x14ac:dyDescent="0.2">
      <c r="A664" s="11" t="s">
        <v>113</v>
      </c>
      <c r="B664" s="206" t="s">
        <v>58</v>
      </c>
      <c r="C664" s="207" t="s">
        <v>328</v>
      </c>
      <c r="D664" s="206" t="s">
        <v>0</v>
      </c>
      <c r="E664" s="198">
        <f>E665+E667</f>
        <v>25</v>
      </c>
      <c r="F664" s="118"/>
    </row>
    <row r="665" spans="1:7" s="86" customFormat="1" ht="31.5" x14ac:dyDescent="0.2">
      <c r="A665" s="11" t="s">
        <v>332</v>
      </c>
      <c r="B665" s="206" t="s">
        <v>58</v>
      </c>
      <c r="C665" s="207" t="s">
        <v>377</v>
      </c>
      <c r="D665" s="206"/>
      <c r="E665" s="198">
        <f>E666</f>
        <v>25</v>
      </c>
      <c r="F665" s="118"/>
    </row>
    <row r="666" spans="1:7" s="86" customFormat="1" ht="31.5" x14ac:dyDescent="0.2">
      <c r="A666" s="11" t="s">
        <v>710</v>
      </c>
      <c r="B666" s="206" t="s">
        <v>58</v>
      </c>
      <c r="C666" s="207" t="s">
        <v>377</v>
      </c>
      <c r="D666" s="206">
        <v>120</v>
      </c>
      <c r="E666" s="198">
        <v>25</v>
      </c>
      <c r="F666" s="279"/>
    </row>
    <row r="667" spans="1:7" s="86" customFormat="1" ht="31.5" x14ac:dyDescent="0.2">
      <c r="A667" s="37" t="s">
        <v>378</v>
      </c>
      <c r="B667" s="196" t="s">
        <v>58</v>
      </c>
      <c r="C667" s="197" t="s">
        <v>379</v>
      </c>
      <c r="D667" s="196"/>
      <c r="E667" s="198">
        <f>E668</f>
        <v>0</v>
      </c>
      <c r="F667" s="118"/>
    </row>
    <row r="668" spans="1:7" s="86" customFormat="1" ht="31.5" x14ac:dyDescent="0.2">
      <c r="A668" s="5" t="s">
        <v>706</v>
      </c>
      <c r="B668" s="196" t="s">
        <v>58</v>
      </c>
      <c r="C668" s="197" t="s">
        <v>379</v>
      </c>
      <c r="D668" s="196">
        <v>240</v>
      </c>
      <c r="E668" s="198">
        <f>25-25</f>
        <v>0</v>
      </c>
      <c r="F668" s="279"/>
    </row>
    <row r="669" spans="1:7" s="86" customFormat="1" ht="47.25" x14ac:dyDescent="0.2">
      <c r="A669" s="39" t="s">
        <v>180</v>
      </c>
      <c r="B669" s="196" t="s">
        <v>58</v>
      </c>
      <c r="C669" s="197" t="s">
        <v>326</v>
      </c>
      <c r="D669" s="196"/>
      <c r="E669" s="198">
        <f>E670</f>
        <v>5000</v>
      </c>
      <c r="F669" s="104"/>
    </row>
    <row r="670" spans="1:7" s="86" customFormat="1" ht="68.25" customHeight="1" x14ac:dyDescent="0.2">
      <c r="A670" s="91" t="s">
        <v>979</v>
      </c>
      <c r="B670" s="196" t="s">
        <v>58</v>
      </c>
      <c r="C670" s="197" t="s">
        <v>913</v>
      </c>
      <c r="D670" s="196"/>
      <c r="E670" s="198">
        <f>E671</f>
        <v>5000</v>
      </c>
      <c r="F670" s="104"/>
    </row>
    <row r="671" spans="1:7" s="86" customFormat="1" ht="34.5" customHeight="1" x14ac:dyDescent="0.2">
      <c r="A671" s="91" t="s">
        <v>977</v>
      </c>
      <c r="B671" s="196" t="s">
        <v>58</v>
      </c>
      <c r="C671" s="197" t="s">
        <v>914</v>
      </c>
      <c r="D671" s="196"/>
      <c r="E671" s="198">
        <f>E672</f>
        <v>5000</v>
      </c>
      <c r="F671" s="104"/>
    </row>
    <row r="672" spans="1:7" s="86" customFormat="1" ht="23.25" customHeight="1" x14ac:dyDescent="0.2">
      <c r="A672" s="11" t="s">
        <v>978</v>
      </c>
      <c r="B672" s="196" t="s">
        <v>58</v>
      </c>
      <c r="C672" s="197" t="s">
        <v>914</v>
      </c>
      <c r="D672" s="206">
        <v>610</v>
      </c>
      <c r="E672" s="198">
        <v>5000</v>
      </c>
      <c r="F672" s="142"/>
    </row>
    <row r="673" spans="1:8" s="86" customFormat="1" ht="31.5" x14ac:dyDescent="0.2">
      <c r="A673" s="11" t="s">
        <v>110</v>
      </c>
      <c r="B673" s="206" t="s">
        <v>58</v>
      </c>
      <c r="C673" s="207" t="s">
        <v>344</v>
      </c>
      <c r="D673" s="206" t="s">
        <v>0</v>
      </c>
      <c r="E673" s="198">
        <f>E674</f>
        <v>117630.70000000001</v>
      </c>
      <c r="F673" s="118"/>
    </row>
    <row r="674" spans="1:8" s="86" customFormat="1" ht="18" customHeight="1" x14ac:dyDescent="0.2">
      <c r="A674" s="11" t="s">
        <v>495</v>
      </c>
      <c r="B674" s="206" t="s">
        <v>58</v>
      </c>
      <c r="C674" s="207" t="s">
        <v>492</v>
      </c>
      <c r="D674" s="206"/>
      <c r="E674" s="198">
        <f>E675</f>
        <v>117630.70000000001</v>
      </c>
      <c r="F674" s="118"/>
    </row>
    <row r="675" spans="1:8" s="86" customFormat="1" x14ac:dyDescent="0.2">
      <c r="A675" s="11" t="s">
        <v>9</v>
      </c>
      <c r="B675" s="206" t="s">
        <v>58</v>
      </c>
      <c r="C675" s="207" t="s">
        <v>493</v>
      </c>
      <c r="D675" s="206"/>
      <c r="E675" s="198">
        <f>E676</f>
        <v>117630.70000000001</v>
      </c>
      <c r="F675" s="118"/>
    </row>
    <row r="676" spans="1:8" s="86" customFormat="1" x14ac:dyDescent="0.2">
      <c r="A676" s="11" t="s">
        <v>749</v>
      </c>
      <c r="B676" s="206" t="s">
        <v>58</v>
      </c>
      <c r="C676" s="207" t="s">
        <v>494</v>
      </c>
      <c r="D676" s="206"/>
      <c r="E676" s="198">
        <f>E677</f>
        <v>117630.70000000001</v>
      </c>
      <c r="F676" s="118"/>
    </row>
    <row r="677" spans="1:8" s="86" customFormat="1" ht="31.5" x14ac:dyDescent="0.2">
      <c r="A677" s="11" t="s">
        <v>710</v>
      </c>
      <c r="B677" s="206" t="s">
        <v>58</v>
      </c>
      <c r="C677" s="207" t="s">
        <v>494</v>
      </c>
      <c r="D677" s="206">
        <v>120</v>
      </c>
      <c r="E677" s="198">
        <f>106380+1681.1+9569.6</f>
        <v>117630.70000000001</v>
      </c>
      <c r="F677" s="150"/>
    </row>
    <row r="678" spans="1:8" s="86" customFormat="1" x14ac:dyDescent="0.2">
      <c r="A678" s="11" t="s">
        <v>137</v>
      </c>
      <c r="B678" s="206" t="s">
        <v>58</v>
      </c>
      <c r="C678" s="207" t="s">
        <v>330</v>
      </c>
      <c r="D678" s="206" t="s">
        <v>0</v>
      </c>
      <c r="E678" s="198">
        <f>E679</f>
        <v>84094.399999999994</v>
      </c>
    </row>
    <row r="679" spans="1:8" s="86" customFormat="1" x14ac:dyDescent="0.2">
      <c r="A679" s="11" t="s">
        <v>27</v>
      </c>
      <c r="B679" s="206" t="s">
        <v>58</v>
      </c>
      <c r="C679" s="207" t="s">
        <v>427</v>
      </c>
      <c r="D679" s="206"/>
      <c r="E679" s="198">
        <f>E680</f>
        <v>84094.399999999994</v>
      </c>
      <c r="F679" s="118"/>
    </row>
    <row r="680" spans="1:8" s="86" customFormat="1" ht="31.5" x14ac:dyDescent="0.2">
      <c r="A680" s="11" t="s">
        <v>619</v>
      </c>
      <c r="B680" s="206" t="s">
        <v>58</v>
      </c>
      <c r="C680" s="207" t="s">
        <v>617</v>
      </c>
      <c r="D680" s="206"/>
      <c r="E680" s="198">
        <f>E681</f>
        <v>84094.399999999994</v>
      </c>
      <c r="F680" s="118"/>
    </row>
    <row r="681" spans="1:8" s="86" customFormat="1" ht="31.5" x14ac:dyDescent="0.2">
      <c r="A681" s="11" t="s">
        <v>302</v>
      </c>
      <c r="B681" s="206" t="s">
        <v>58</v>
      </c>
      <c r="C681" s="207" t="s">
        <v>618</v>
      </c>
      <c r="D681" s="206"/>
      <c r="E681" s="198">
        <f>SUM(E682:E684)</f>
        <v>84094.399999999994</v>
      </c>
      <c r="F681" s="118"/>
    </row>
    <row r="682" spans="1:8" s="86" customFormat="1" x14ac:dyDescent="0.2">
      <c r="A682" s="11" t="s">
        <v>711</v>
      </c>
      <c r="B682" s="206" t="s">
        <v>58</v>
      </c>
      <c r="C682" s="207" t="s">
        <v>618</v>
      </c>
      <c r="D682" s="206">
        <v>110</v>
      </c>
      <c r="E682" s="198">
        <f>81221.2+1411.2</f>
        <v>82632.399999999994</v>
      </c>
      <c r="F682" s="150"/>
      <c r="G682" s="282"/>
      <c r="H682" s="283"/>
    </row>
    <row r="683" spans="1:8" s="86" customFormat="1" ht="31.5" x14ac:dyDescent="0.2">
      <c r="A683" s="5" t="s">
        <v>706</v>
      </c>
      <c r="B683" s="206" t="s">
        <v>58</v>
      </c>
      <c r="C683" s="207" t="s">
        <v>618</v>
      </c>
      <c r="D683" s="206">
        <v>240</v>
      </c>
      <c r="E683" s="198">
        <v>1322.7</v>
      </c>
      <c r="F683" s="118"/>
    </row>
    <row r="684" spans="1:8" s="86" customFormat="1" x14ac:dyDescent="0.2">
      <c r="A684" s="11" t="s">
        <v>712</v>
      </c>
      <c r="B684" s="206" t="s">
        <v>58</v>
      </c>
      <c r="C684" s="207" t="s">
        <v>618</v>
      </c>
      <c r="D684" s="206">
        <v>850</v>
      </c>
      <c r="E684" s="198">
        <v>139.30000000000001</v>
      </c>
      <c r="F684" s="279"/>
    </row>
    <row r="685" spans="1:8" x14ac:dyDescent="0.2">
      <c r="A685" s="16" t="s">
        <v>59</v>
      </c>
      <c r="B685" s="224" t="s">
        <v>60</v>
      </c>
      <c r="C685" s="224" t="s">
        <v>0</v>
      </c>
      <c r="D685" s="224" t="s">
        <v>0</v>
      </c>
      <c r="E685" s="225">
        <f>E686</f>
        <v>10435.6</v>
      </c>
    </row>
    <row r="686" spans="1:8" x14ac:dyDescent="0.2">
      <c r="A686" s="17" t="s">
        <v>61</v>
      </c>
      <c r="B686" s="18" t="s">
        <v>62</v>
      </c>
      <c r="C686" s="15" t="s">
        <v>0</v>
      </c>
      <c r="D686" s="18" t="s">
        <v>0</v>
      </c>
      <c r="E686" s="182">
        <f>E687</f>
        <v>10435.6</v>
      </c>
    </row>
    <row r="687" spans="1:8" ht="47.25" x14ac:dyDescent="0.2">
      <c r="A687" s="2" t="s">
        <v>259</v>
      </c>
      <c r="B687" s="8" t="s">
        <v>62</v>
      </c>
      <c r="C687" s="7" t="s">
        <v>284</v>
      </c>
      <c r="D687" s="8" t="s">
        <v>0</v>
      </c>
      <c r="E687" s="47">
        <f>E688+E691</f>
        <v>10435.6</v>
      </c>
    </row>
    <row r="688" spans="1:8" ht="31.5" x14ac:dyDescent="0.2">
      <c r="A688" s="2" t="s">
        <v>197</v>
      </c>
      <c r="B688" s="8" t="s">
        <v>62</v>
      </c>
      <c r="C688" s="7" t="s">
        <v>721</v>
      </c>
      <c r="D688" s="8" t="s">
        <v>0</v>
      </c>
      <c r="E688" s="47">
        <f>E689</f>
        <v>300.60000000000002</v>
      </c>
    </row>
    <row r="689" spans="1:7" ht="31.5" x14ac:dyDescent="0.2">
      <c r="A689" s="39" t="s">
        <v>307</v>
      </c>
      <c r="B689" s="8" t="s">
        <v>62</v>
      </c>
      <c r="C689" s="7" t="s">
        <v>423</v>
      </c>
      <c r="D689" s="8"/>
      <c r="E689" s="47">
        <f>E690</f>
        <v>300.60000000000002</v>
      </c>
    </row>
    <row r="690" spans="1:7" ht="31.5" x14ac:dyDescent="0.2">
      <c r="A690" s="1" t="s">
        <v>706</v>
      </c>
      <c r="B690" s="8" t="s">
        <v>62</v>
      </c>
      <c r="C690" s="7" t="s">
        <v>423</v>
      </c>
      <c r="D690" s="8">
        <v>240</v>
      </c>
      <c r="E690" s="47">
        <f>30+270.6</f>
        <v>300.60000000000002</v>
      </c>
      <c r="F690" s="56"/>
    </row>
    <row r="691" spans="1:7" ht="31.5" x14ac:dyDescent="0.2">
      <c r="A691" s="1" t="s">
        <v>677</v>
      </c>
      <c r="B691" s="8" t="s">
        <v>62</v>
      </c>
      <c r="C691" s="7" t="s">
        <v>285</v>
      </c>
      <c r="D691" s="8" t="s">
        <v>0</v>
      </c>
      <c r="E691" s="47">
        <f>E692</f>
        <v>10135</v>
      </c>
    </row>
    <row r="692" spans="1:7" ht="31.5" x14ac:dyDescent="0.2">
      <c r="A692" s="19" t="s">
        <v>198</v>
      </c>
      <c r="B692" s="8" t="s">
        <v>62</v>
      </c>
      <c r="C692" s="7" t="s">
        <v>286</v>
      </c>
      <c r="D692" s="8" t="s">
        <v>0</v>
      </c>
      <c r="E692" s="47">
        <f>E696+E693</f>
        <v>10135</v>
      </c>
    </row>
    <row r="693" spans="1:7" ht="31.5" x14ac:dyDescent="0.2">
      <c r="A693" s="25" t="s">
        <v>302</v>
      </c>
      <c r="B693" s="23" t="s">
        <v>62</v>
      </c>
      <c r="C693" s="29" t="s">
        <v>460</v>
      </c>
      <c r="D693" s="23"/>
      <c r="E693" s="47">
        <f>E694+E695</f>
        <v>135</v>
      </c>
    </row>
    <row r="694" spans="1:7" x14ac:dyDescent="0.2">
      <c r="A694" s="2" t="s">
        <v>944</v>
      </c>
      <c r="B694" s="23" t="s">
        <v>62</v>
      </c>
      <c r="C694" s="24" t="s">
        <v>460</v>
      </c>
      <c r="D694" s="8">
        <v>610</v>
      </c>
      <c r="E694" s="47">
        <f>51</f>
        <v>51</v>
      </c>
      <c r="F694" s="110"/>
    </row>
    <row r="695" spans="1:7" x14ac:dyDescent="0.2">
      <c r="A695" s="2" t="s">
        <v>945</v>
      </c>
      <c r="B695" s="23" t="s">
        <v>62</v>
      </c>
      <c r="C695" s="24" t="s">
        <v>460</v>
      </c>
      <c r="D695" s="8">
        <v>620</v>
      </c>
      <c r="E695" s="47">
        <f>84</f>
        <v>84</v>
      </c>
      <c r="F695" s="110"/>
    </row>
    <row r="696" spans="1:7" x14ac:dyDescent="0.2">
      <c r="A696" s="2" t="s">
        <v>376</v>
      </c>
      <c r="B696" s="23" t="s">
        <v>62</v>
      </c>
      <c r="C696" s="24" t="s">
        <v>969</v>
      </c>
      <c r="D696" s="8"/>
      <c r="E696" s="47">
        <f>E697</f>
        <v>10000</v>
      </c>
      <c r="F696" s="110"/>
    </row>
    <row r="697" spans="1:7" ht="31.5" x14ac:dyDescent="0.2">
      <c r="A697" s="2" t="s">
        <v>157</v>
      </c>
      <c r="B697" s="23" t="s">
        <v>62</v>
      </c>
      <c r="C697" s="24" t="s">
        <v>969</v>
      </c>
      <c r="D697" s="8">
        <v>414</v>
      </c>
      <c r="E697" s="47">
        <v>10000</v>
      </c>
      <c r="F697" s="110"/>
    </row>
    <row r="698" spans="1:7" x14ac:dyDescent="0.2">
      <c r="A698" s="16" t="s">
        <v>63</v>
      </c>
      <c r="B698" s="224" t="s">
        <v>64</v>
      </c>
      <c r="C698" s="224" t="s">
        <v>0</v>
      </c>
      <c r="D698" s="224" t="s">
        <v>0</v>
      </c>
      <c r="E698" s="225">
        <f>E699+E750+E813+E850+E860+E905</f>
        <v>8268176.2000000002</v>
      </c>
    </row>
    <row r="699" spans="1:7" x14ac:dyDescent="0.2">
      <c r="A699" s="20" t="s">
        <v>65</v>
      </c>
      <c r="B699" s="18" t="s">
        <v>66</v>
      </c>
      <c r="C699" s="15" t="s">
        <v>0</v>
      </c>
      <c r="D699" s="18" t="s">
        <v>0</v>
      </c>
      <c r="E699" s="182">
        <f>E700</f>
        <v>3297069.8</v>
      </c>
    </row>
    <row r="700" spans="1:7" ht="31.5" x14ac:dyDescent="0.2">
      <c r="A700" s="11" t="s">
        <v>149</v>
      </c>
      <c r="B700" s="8" t="s">
        <v>66</v>
      </c>
      <c r="C700" s="7" t="s">
        <v>288</v>
      </c>
      <c r="D700" s="8" t="s">
        <v>0</v>
      </c>
      <c r="E700" s="47">
        <f>E701+E713+E721+E725+E745</f>
        <v>3297069.8</v>
      </c>
    </row>
    <row r="701" spans="1:7" ht="31.5" x14ac:dyDescent="0.2">
      <c r="A701" s="11" t="s">
        <v>199</v>
      </c>
      <c r="B701" s="8" t="s">
        <v>66</v>
      </c>
      <c r="C701" s="24" t="s">
        <v>496</v>
      </c>
      <c r="D701" s="8" t="s">
        <v>0</v>
      </c>
      <c r="E701" s="47">
        <f>E702+E706</f>
        <v>2989463</v>
      </c>
    </row>
    <row r="702" spans="1:7" ht="31.5" x14ac:dyDescent="0.2">
      <c r="A702" s="11" t="s">
        <v>200</v>
      </c>
      <c r="B702" s="8" t="s">
        <v>66</v>
      </c>
      <c r="C702" s="24" t="s">
        <v>497</v>
      </c>
      <c r="D702" s="8" t="s">
        <v>0</v>
      </c>
      <c r="E702" s="47">
        <f>E703</f>
        <v>2332500</v>
      </c>
    </row>
    <row r="703" spans="1:7" ht="94.5" x14ac:dyDescent="0.2">
      <c r="A703" s="11" t="s">
        <v>365</v>
      </c>
      <c r="B703" s="8" t="s">
        <v>66</v>
      </c>
      <c r="C703" s="7" t="s">
        <v>366</v>
      </c>
      <c r="D703" s="8"/>
      <c r="E703" s="47">
        <f>E704+E705</f>
        <v>2332500</v>
      </c>
    </row>
    <row r="704" spans="1:7" x14ac:dyDescent="0.2">
      <c r="A704" s="2" t="s">
        <v>944</v>
      </c>
      <c r="B704" s="8" t="s">
        <v>66</v>
      </c>
      <c r="C704" s="7" t="s">
        <v>366</v>
      </c>
      <c r="D704" s="8">
        <v>610</v>
      </c>
      <c r="E704" s="47">
        <v>1050305</v>
      </c>
      <c r="F704" s="128"/>
      <c r="G704" s="134"/>
    </row>
    <row r="705" spans="1:10" x14ac:dyDescent="0.2">
      <c r="A705" s="2" t="s">
        <v>945</v>
      </c>
      <c r="B705" s="8" t="s">
        <v>66</v>
      </c>
      <c r="C705" s="7" t="s">
        <v>366</v>
      </c>
      <c r="D705" s="8">
        <v>620</v>
      </c>
      <c r="E705" s="47">
        <v>1282195</v>
      </c>
      <c r="F705" s="128"/>
      <c r="G705" s="134"/>
    </row>
    <row r="706" spans="1:10" ht="63" x14ac:dyDescent="0.2">
      <c r="A706" s="11" t="s">
        <v>201</v>
      </c>
      <c r="B706" s="8" t="s">
        <v>66</v>
      </c>
      <c r="C706" s="24" t="s">
        <v>498</v>
      </c>
      <c r="D706" s="8" t="s">
        <v>0</v>
      </c>
      <c r="E706" s="47">
        <f>E707+E710</f>
        <v>656963</v>
      </c>
    </row>
    <row r="707" spans="1:10" ht="31.5" x14ac:dyDescent="0.2">
      <c r="A707" s="11" t="s">
        <v>302</v>
      </c>
      <c r="B707" s="8" t="s">
        <v>66</v>
      </c>
      <c r="C707" s="24" t="s">
        <v>499</v>
      </c>
      <c r="D707" s="8"/>
      <c r="E707" s="47">
        <f>E708+E709</f>
        <v>590463.4</v>
      </c>
    </row>
    <row r="708" spans="1:10" x14ac:dyDescent="0.2">
      <c r="A708" s="2" t="s">
        <v>944</v>
      </c>
      <c r="B708" s="8" t="s">
        <v>66</v>
      </c>
      <c r="C708" s="7" t="s">
        <v>499</v>
      </c>
      <c r="D708" s="8">
        <v>610</v>
      </c>
      <c r="E708" s="47">
        <f>212967.9+11900+3600+150+3516+2469.3</f>
        <v>234603.19999999998</v>
      </c>
      <c r="F708" s="110"/>
      <c r="G708" s="141"/>
      <c r="H708" s="135"/>
      <c r="I708" s="68"/>
      <c r="J708" s="89"/>
    </row>
    <row r="709" spans="1:10" x14ac:dyDescent="0.2">
      <c r="A709" s="2" t="s">
        <v>945</v>
      </c>
      <c r="B709" s="8" t="s">
        <v>66</v>
      </c>
      <c r="C709" s="7" t="s">
        <v>499</v>
      </c>
      <c r="D709" s="8">
        <v>620</v>
      </c>
      <c r="E709" s="47">
        <f>320419.9-4069.9+9200+12100+9850+4395+3965.2</f>
        <v>355860.2</v>
      </c>
      <c r="F709" s="110"/>
      <c r="G709" s="141"/>
      <c r="H709" s="62"/>
      <c r="I709" s="68"/>
      <c r="J709" s="89"/>
    </row>
    <row r="710" spans="1:10" ht="110.25" x14ac:dyDescent="0.2">
      <c r="A710" s="43" t="s">
        <v>523</v>
      </c>
      <c r="B710" s="23" t="s">
        <v>66</v>
      </c>
      <c r="C710" s="24" t="s">
        <v>524</v>
      </c>
      <c r="D710" s="23" t="s">
        <v>0</v>
      </c>
      <c r="E710" s="47">
        <f>E711+E712</f>
        <v>66499.600000000006</v>
      </c>
    </row>
    <row r="711" spans="1:10" x14ac:dyDescent="0.2">
      <c r="A711" s="2" t="s">
        <v>944</v>
      </c>
      <c r="B711" s="23" t="s">
        <v>66</v>
      </c>
      <c r="C711" s="24" t="s">
        <v>524</v>
      </c>
      <c r="D711" s="8">
        <v>610</v>
      </c>
      <c r="E711" s="200">
        <v>25733.3</v>
      </c>
      <c r="F711" s="110"/>
    </row>
    <row r="712" spans="1:10" x14ac:dyDescent="0.2">
      <c r="A712" s="2" t="s">
        <v>945</v>
      </c>
      <c r="B712" s="23" t="s">
        <v>66</v>
      </c>
      <c r="C712" s="24" t="s">
        <v>524</v>
      </c>
      <c r="D712" s="8">
        <v>620</v>
      </c>
      <c r="E712" s="200">
        <v>40766.300000000003</v>
      </c>
      <c r="F712" s="110"/>
    </row>
    <row r="713" spans="1:10" x14ac:dyDescent="0.2">
      <c r="A713" s="41" t="s">
        <v>202</v>
      </c>
      <c r="B713" s="23" t="s">
        <v>66</v>
      </c>
      <c r="C713" s="24" t="s">
        <v>550</v>
      </c>
      <c r="D713" s="23" t="s">
        <v>0</v>
      </c>
      <c r="E713" s="47">
        <f>E714+E718</f>
        <v>21350</v>
      </c>
    </row>
    <row r="714" spans="1:10" ht="31.5" x14ac:dyDescent="0.2">
      <c r="A714" s="41" t="s">
        <v>203</v>
      </c>
      <c r="B714" s="23" t="s">
        <v>66</v>
      </c>
      <c r="C714" s="24" t="s">
        <v>551</v>
      </c>
      <c r="D714" s="23" t="s">
        <v>0</v>
      </c>
      <c r="E714" s="47">
        <f>E715</f>
        <v>19850</v>
      </c>
    </row>
    <row r="715" spans="1:10" ht="31.5" x14ac:dyDescent="0.2">
      <c r="A715" s="41" t="s">
        <v>302</v>
      </c>
      <c r="B715" s="23" t="s">
        <v>66</v>
      </c>
      <c r="C715" s="24" t="s">
        <v>552</v>
      </c>
      <c r="D715" s="23"/>
      <c r="E715" s="47">
        <f>E716+E717</f>
        <v>19850</v>
      </c>
    </row>
    <row r="716" spans="1:10" x14ac:dyDescent="0.2">
      <c r="A716" s="2" t="s">
        <v>944</v>
      </c>
      <c r="B716" s="23" t="s">
        <v>66</v>
      </c>
      <c r="C716" s="24" t="s">
        <v>552</v>
      </c>
      <c r="D716" s="8">
        <v>610</v>
      </c>
      <c r="E716" s="47">
        <f>13150</f>
        <v>13150</v>
      </c>
      <c r="F716" s="110"/>
      <c r="G716" s="64"/>
    </row>
    <row r="717" spans="1:10" x14ac:dyDescent="0.2">
      <c r="A717" s="2" t="s">
        <v>945</v>
      </c>
      <c r="B717" s="23" t="s">
        <v>66</v>
      </c>
      <c r="C717" s="24" t="s">
        <v>552</v>
      </c>
      <c r="D717" s="8">
        <v>620</v>
      </c>
      <c r="E717" s="47">
        <f>6700</f>
        <v>6700</v>
      </c>
      <c r="F717" s="110"/>
      <c r="G717" s="89"/>
    </row>
    <row r="718" spans="1:10" ht="31.5" x14ac:dyDescent="0.2">
      <c r="A718" s="41" t="s">
        <v>204</v>
      </c>
      <c r="B718" s="23" t="s">
        <v>66</v>
      </c>
      <c r="C718" s="24" t="s">
        <v>553</v>
      </c>
      <c r="D718" s="23" t="s">
        <v>0</v>
      </c>
      <c r="E718" s="47">
        <f>E719</f>
        <v>1500</v>
      </c>
    </row>
    <row r="719" spans="1:10" ht="31.5" x14ac:dyDescent="0.2">
      <c r="A719" s="41" t="s">
        <v>302</v>
      </c>
      <c r="B719" s="23" t="s">
        <v>66</v>
      </c>
      <c r="C719" s="24" t="s">
        <v>554</v>
      </c>
      <c r="D719" s="23"/>
      <c r="E719" s="47">
        <f>E720</f>
        <v>1500</v>
      </c>
    </row>
    <row r="720" spans="1:10" x14ac:dyDescent="0.2">
      <c r="A720" s="2" t="s">
        <v>944</v>
      </c>
      <c r="B720" s="23" t="s">
        <v>66</v>
      </c>
      <c r="C720" s="24" t="s">
        <v>554</v>
      </c>
      <c r="D720" s="8">
        <v>610</v>
      </c>
      <c r="E720" s="47">
        <f>1500</f>
        <v>1500</v>
      </c>
      <c r="F720" s="110"/>
      <c r="G720" s="64"/>
      <c r="H720" s="134"/>
    </row>
    <row r="721" spans="1:7" x14ac:dyDescent="0.2">
      <c r="A721" s="11" t="s">
        <v>205</v>
      </c>
      <c r="B721" s="8" t="s">
        <v>66</v>
      </c>
      <c r="C721" s="7" t="s">
        <v>373</v>
      </c>
      <c r="D721" s="8" t="s">
        <v>0</v>
      </c>
      <c r="E721" s="47">
        <f>E722</f>
        <v>1406.3</v>
      </c>
    </row>
    <row r="722" spans="1:7" ht="47.25" x14ac:dyDescent="0.2">
      <c r="A722" s="39" t="s">
        <v>871</v>
      </c>
      <c r="B722" s="8" t="s">
        <v>66</v>
      </c>
      <c r="C722" s="7" t="s">
        <v>372</v>
      </c>
      <c r="D722" s="8" t="s">
        <v>0</v>
      </c>
      <c r="E722" s="47">
        <f>E723+E724</f>
        <v>1406.3</v>
      </c>
    </row>
    <row r="723" spans="1:7" x14ac:dyDescent="0.2">
      <c r="A723" s="2" t="s">
        <v>944</v>
      </c>
      <c r="B723" s="8" t="s">
        <v>66</v>
      </c>
      <c r="C723" s="7" t="s">
        <v>372</v>
      </c>
      <c r="D723" s="8">
        <v>610</v>
      </c>
      <c r="E723" s="47">
        <v>1120.3</v>
      </c>
      <c r="F723" s="112"/>
    </row>
    <row r="724" spans="1:7" x14ac:dyDescent="0.2">
      <c r="A724" s="2" t="s">
        <v>945</v>
      </c>
      <c r="B724" s="8" t="s">
        <v>66</v>
      </c>
      <c r="C724" s="7" t="s">
        <v>372</v>
      </c>
      <c r="D724" s="8">
        <v>620</v>
      </c>
      <c r="E724" s="47">
        <v>286</v>
      </c>
      <c r="F724" s="112"/>
    </row>
    <row r="725" spans="1:7" ht="31.5" x14ac:dyDescent="0.2">
      <c r="A725" s="39" t="s">
        <v>894</v>
      </c>
      <c r="B725" s="8" t="s">
        <v>66</v>
      </c>
      <c r="C725" s="7" t="s">
        <v>287</v>
      </c>
      <c r="D725" s="8" t="s">
        <v>0</v>
      </c>
      <c r="E725" s="47">
        <f>E726+E733+E741</f>
        <v>153781.79999999999</v>
      </c>
    </row>
    <row r="726" spans="1:7" ht="31.5" x14ac:dyDescent="0.2">
      <c r="A726" s="39" t="s">
        <v>820</v>
      </c>
      <c r="B726" s="35" t="s">
        <v>66</v>
      </c>
      <c r="C726" s="36" t="s">
        <v>821</v>
      </c>
      <c r="D726" s="35"/>
      <c r="E726" s="47">
        <f>E727+E729+E731</f>
        <v>61759.199999999997</v>
      </c>
      <c r="F726" s="75"/>
    </row>
    <row r="727" spans="1:7" ht="31.5" x14ac:dyDescent="0.2">
      <c r="A727" s="39" t="s">
        <v>722</v>
      </c>
      <c r="B727" s="35" t="s">
        <v>66</v>
      </c>
      <c r="C727" s="197" t="s">
        <v>838</v>
      </c>
      <c r="D727" s="35"/>
      <c r="E727" s="47">
        <f>E728</f>
        <v>42420</v>
      </c>
      <c r="F727" s="75"/>
    </row>
    <row r="728" spans="1:7" ht="31.5" x14ac:dyDescent="0.2">
      <c r="A728" s="39" t="s">
        <v>51</v>
      </c>
      <c r="B728" s="35" t="s">
        <v>66</v>
      </c>
      <c r="C728" s="197" t="s">
        <v>838</v>
      </c>
      <c r="D728" s="35">
        <v>412</v>
      </c>
      <c r="E728" s="47">
        <v>42420</v>
      </c>
      <c r="F728" s="75"/>
    </row>
    <row r="729" spans="1:7" ht="47.25" x14ac:dyDescent="0.2">
      <c r="A729" s="39" t="s">
        <v>716</v>
      </c>
      <c r="B729" s="35" t="s">
        <v>66</v>
      </c>
      <c r="C729" s="36" t="s">
        <v>822</v>
      </c>
      <c r="D729" s="35"/>
      <c r="E729" s="47">
        <f>E730</f>
        <v>18180</v>
      </c>
      <c r="F729" s="75"/>
    </row>
    <row r="730" spans="1:7" ht="31.5" x14ac:dyDescent="0.2">
      <c r="A730" s="39" t="s">
        <v>51</v>
      </c>
      <c r="B730" s="35" t="s">
        <v>66</v>
      </c>
      <c r="C730" s="36" t="s">
        <v>822</v>
      </c>
      <c r="D730" s="35">
        <v>412</v>
      </c>
      <c r="E730" s="47">
        <v>18180</v>
      </c>
      <c r="F730" s="75"/>
    </row>
    <row r="731" spans="1:7" ht="47.25" x14ac:dyDescent="0.2">
      <c r="A731" s="39" t="s">
        <v>716</v>
      </c>
      <c r="B731" s="35" t="s">
        <v>66</v>
      </c>
      <c r="C731" s="36" t="s">
        <v>822</v>
      </c>
      <c r="D731" s="35"/>
      <c r="E731" s="47">
        <f>E732</f>
        <v>1159.2</v>
      </c>
      <c r="F731" s="75"/>
    </row>
    <row r="732" spans="1:7" ht="31.5" x14ac:dyDescent="0.2">
      <c r="A732" s="39" t="s">
        <v>157</v>
      </c>
      <c r="B732" s="35" t="s">
        <v>66</v>
      </c>
      <c r="C732" s="36" t="s">
        <v>822</v>
      </c>
      <c r="D732" s="35">
        <v>414</v>
      </c>
      <c r="E732" s="47">
        <v>1159.2</v>
      </c>
      <c r="F732" s="75"/>
    </row>
    <row r="733" spans="1:7" x14ac:dyDescent="0.2">
      <c r="A733" s="39" t="s">
        <v>206</v>
      </c>
      <c r="B733" s="35" t="s">
        <v>66</v>
      </c>
      <c r="C733" s="36" t="s">
        <v>356</v>
      </c>
      <c r="D733" s="35" t="s">
        <v>0</v>
      </c>
      <c r="E733" s="47">
        <f>E734+E737+E739</f>
        <v>50872.6</v>
      </c>
    </row>
    <row r="734" spans="1:7" ht="31.5" x14ac:dyDescent="0.2">
      <c r="A734" s="11" t="s">
        <v>302</v>
      </c>
      <c r="B734" s="8" t="s">
        <v>66</v>
      </c>
      <c r="C734" s="7" t="s">
        <v>357</v>
      </c>
      <c r="D734" s="8"/>
      <c r="E734" s="47">
        <f>E735+E736</f>
        <v>16850</v>
      </c>
    </row>
    <row r="735" spans="1:7" x14ac:dyDescent="0.2">
      <c r="A735" s="2" t="s">
        <v>944</v>
      </c>
      <c r="B735" s="8" t="s">
        <v>66</v>
      </c>
      <c r="C735" s="7" t="s">
        <v>357</v>
      </c>
      <c r="D735" s="8">
        <v>610</v>
      </c>
      <c r="E735" s="47">
        <f>11350</f>
        <v>11350</v>
      </c>
      <c r="F735" s="110"/>
      <c r="G735" s="76"/>
    </row>
    <row r="736" spans="1:7" x14ac:dyDescent="0.2">
      <c r="A736" s="2" t="s">
        <v>945</v>
      </c>
      <c r="B736" s="8" t="s">
        <v>66</v>
      </c>
      <c r="C736" s="7" t="s">
        <v>357</v>
      </c>
      <c r="D736" s="8">
        <v>620</v>
      </c>
      <c r="E736" s="47">
        <f>5500</f>
        <v>5500</v>
      </c>
      <c r="F736" s="110"/>
      <c r="G736" s="134"/>
    </row>
    <row r="737" spans="1:7" ht="31.5" x14ac:dyDescent="0.2">
      <c r="A737" s="39" t="s">
        <v>307</v>
      </c>
      <c r="B737" s="35" t="s">
        <v>66</v>
      </c>
      <c r="C737" s="36" t="s">
        <v>417</v>
      </c>
      <c r="D737" s="35"/>
      <c r="E737" s="47">
        <f>E738</f>
        <v>17000</v>
      </c>
    </row>
    <row r="738" spans="1:7" ht="29.25" customHeight="1" x14ac:dyDescent="0.2">
      <c r="A738" s="1" t="s">
        <v>706</v>
      </c>
      <c r="B738" s="35" t="s">
        <v>66</v>
      </c>
      <c r="C738" s="36" t="s">
        <v>417</v>
      </c>
      <c r="D738" s="35">
        <v>240</v>
      </c>
      <c r="E738" s="47">
        <v>17000</v>
      </c>
      <c r="F738" s="75"/>
    </row>
    <row r="739" spans="1:7" ht="47.25" customHeight="1" x14ac:dyDescent="0.2">
      <c r="A739" s="11" t="s">
        <v>971</v>
      </c>
      <c r="B739" s="8" t="s">
        <v>66</v>
      </c>
      <c r="C739" s="7" t="s">
        <v>970</v>
      </c>
      <c r="D739" s="8"/>
      <c r="E739" s="47">
        <f>E740</f>
        <v>17022.599999999999</v>
      </c>
      <c r="F739" s="75"/>
    </row>
    <row r="740" spans="1:7" ht="29.25" customHeight="1" x14ac:dyDescent="0.2">
      <c r="A740" s="1" t="s">
        <v>706</v>
      </c>
      <c r="B740" s="8" t="s">
        <v>66</v>
      </c>
      <c r="C740" s="7" t="s">
        <v>970</v>
      </c>
      <c r="D740" s="8">
        <v>240</v>
      </c>
      <c r="E740" s="47">
        <v>17022.599999999999</v>
      </c>
      <c r="F740" s="75"/>
    </row>
    <row r="741" spans="1:7" ht="33" customHeight="1" x14ac:dyDescent="0.2">
      <c r="A741" s="39" t="s">
        <v>709</v>
      </c>
      <c r="B741" s="52" t="s">
        <v>66</v>
      </c>
      <c r="C741" s="36" t="s">
        <v>708</v>
      </c>
      <c r="D741" s="52" t="s">
        <v>0</v>
      </c>
      <c r="E741" s="47">
        <f>E742</f>
        <v>41150</v>
      </c>
    </row>
    <row r="742" spans="1:7" ht="33" customHeight="1" x14ac:dyDescent="0.2">
      <c r="A742" s="39" t="s">
        <v>302</v>
      </c>
      <c r="B742" s="52" t="s">
        <v>66</v>
      </c>
      <c r="C742" s="36" t="s">
        <v>839</v>
      </c>
      <c r="D742" s="52"/>
      <c r="E742" s="47">
        <f>E743+E744</f>
        <v>41150</v>
      </c>
      <c r="F742" s="110"/>
    </row>
    <row r="743" spans="1:7" x14ac:dyDescent="0.2">
      <c r="A743" s="2" t="s">
        <v>944</v>
      </c>
      <c r="B743" s="52" t="s">
        <v>66</v>
      </c>
      <c r="C743" s="36" t="s">
        <v>839</v>
      </c>
      <c r="D743" s="8">
        <v>610</v>
      </c>
      <c r="E743" s="47">
        <f>21350</f>
        <v>21350</v>
      </c>
      <c r="F743" s="110"/>
    </row>
    <row r="744" spans="1:7" x14ac:dyDescent="0.2">
      <c r="A744" s="2" t="s">
        <v>945</v>
      </c>
      <c r="B744" s="52" t="s">
        <v>66</v>
      </c>
      <c r="C744" s="36" t="s">
        <v>839</v>
      </c>
      <c r="D744" s="8">
        <v>620</v>
      </c>
      <c r="E744" s="47">
        <f>19800</f>
        <v>19800</v>
      </c>
      <c r="F744" s="110"/>
      <c r="G744" s="138"/>
    </row>
    <row r="745" spans="1:7" x14ac:dyDescent="0.2">
      <c r="A745" s="41" t="s">
        <v>207</v>
      </c>
      <c r="B745" s="23" t="s">
        <v>66</v>
      </c>
      <c r="C745" s="24" t="s">
        <v>421</v>
      </c>
      <c r="D745" s="23" t="s">
        <v>0</v>
      </c>
      <c r="E745" s="47">
        <f>+E746</f>
        <v>131068.7</v>
      </c>
    </row>
    <row r="746" spans="1:7" ht="31.5" x14ac:dyDescent="0.2">
      <c r="A746" s="41" t="s">
        <v>208</v>
      </c>
      <c r="B746" s="23" t="s">
        <v>66</v>
      </c>
      <c r="C746" s="24" t="s">
        <v>428</v>
      </c>
      <c r="D746" s="23" t="s">
        <v>0</v>
      </c>
      <c r="E746" s="47">
        <f>E747</f>
        <v>131068.7</v>
      </c>
    </row>
    <row r="747" spans="1:7" ht="31.5" x14ac:dyDescent="0.2">
      <c r="A747" s="41" t="s">
        <v>302</v>
      </c>
      <c r="B747" s="23" t="s">
        <v>66</v>
      </c>
      <c r="C747" s="24" t="s">
        <v>588</v>
      </c>
      <c r="D747" s="23"/>
      <c r="E747" s="47">
        <f>E748+E749</f>
        <v>131068.7</v>
      </c>
    </row>
    <row r="748" spans="1:7" x14ac:dyDescent="0.2">
      <c r="A748" s="2" t="s">
        <v>944</v>
      </c>
      <c r="B748" s="23" t="s">
        <v>66</v>
      </c>
      <c r="C748" s="24" t="s">
        <v>588</v>
      </c>
      <c r="D748" s="8">
        <v>610</v>
      </c>
      <c r="E748" s="47">
        <f>41604+1550+9676.2</f>
        <v>52830.2</v>
      </c>
      <c r="F748" s="110"/>
      <c r="G748" s="134"/>
    </row>
    <row r="749" spans="1:7" x14ac:dyDescent="0.2">
      <c r="A749" s="2" t="s">
        <v>945</v>
      </c>
      <c r="B749" s="23" t="s">
        <v>66</v>
      </c>
      <c r="C749" s="24" t="s">
        <v>588</v>
      </c>
      <c r="D749" s="8">
        <v>620</v>
      </c>
      <c r="E749" s="47">
        <f>54538.7+3376+20323.8</f>
        <v>78238.5</v>
      </c>
      <c r="F749" s="110"/>
      <c r="G749" s="134"/>
    </row>
    <row r="750" spans="1:7" x14ac:dyDescent="0.2">
      <c r="A750" s="20" t="s">
        <v>67</v>
      </c>
      <c r="B750" s="18" t="s">
        <v>68</v>
      </c>
      <c r="C750" s="15" t="s">
        <v>0</v>
      </c>
      <c r="D750" s="18" t="s">
        <v>0</v>
      </c>
      <c r="E750" s="182">
        <f>E751+E810</f>
        <v>3943494.7</v>
      </c>
    </row>
    <row r="751" spans="1:7" ht="31.5" x14ac:dyDescent="0.2">
      <c r="A751" s="11" t="s">
        <v>149</v>
      </c>
      <c r="B751" s="8" t="s">
        <v>68</v>
      </c>
      <c r="C751" s="7" t="s">
        <v>288</v>
      </c>
      <c r="D751" s="8" t="s">
        <v>0</v>
      </c>
      <c r="E751" s="47">
        <f>E752+E774+E782+E787+E806</f>
        <v>3943302.9000000004</v>
      </c>
    </row>
    <row r="752" spans="1:7" ht="19.5" customHeight="1" x14ac:dyDescent="0.2">
      <c r="A752" s="11" t="s">
        <v>209</v>
      </c>
      <c r="B752" s="8" t="s">
        <v>68</v>
      </c>
      <c r="C752" s="7" t="s">
        <v>387</v>
      </c>
      <c r="D752" s="8" t="s">
        <v>0</v>
      </c>
      <c r="E752" s="47">
        <f>E753+E771</f>
        <v>2555141.5</v>
      </c>
    </row>
    <row r="753" spans="1:8" x14ac:dyDescent="0.2">
      <c r="A753" s="11" t="s">
        <v>210</v>
      </c>
      <c r="B753" s="8" t="s">
        <v>68</v>
      </c>
      <c r="C753" s="7" t="s">
        <v>386</v>
      </c>
      <c r="D753" s="8" t="s">
        <v>0</v>
      </c>
      <c r="E753" s="47">
        <f>E754+E760+E765+E768</f>
        <v>2535940.2999999998</v>
      </c>
    </row>
    <row r="754" spans="1:8" ht="31.5" x14ac:dyDescent="0.2">
      <c r="A754" s="40" t="s">
        <v>302</v>
      </c>
      <c r="B754" s="189" t="s">
        <v>68</v>
      </c>
      <c r="C754" s="97" t="s">
        <v>609</v>
      </c>
      <c r="D754" s="189"/>
      <c r="E754" s="47">
        <f>SUM(E755:E759)</f>
        <v>248719.2</v>
      </c>
    </row>
    <row r="755" spans="1:8" x14ac:dyDescent="0.2">
      <c r="A755" s="39" t="s">
        <v>711</v>
      </c>
      <c r="B755" s="189" t="s">
        <v>68</v>
      </c>
      <c r="C755" s="97" t="s">
        <v>609</v>
      </c>
      <c r="D755" s="189">
        <v>110</v>
      </c>
      <c r="E755" s="47">
        <f>232.2+250</f>
        <v>482.2</v>
      </c>
      <c r="F755" s="110"/>
    </row>
    <row r="756" spans="1:8" ht="31.5" x14ac:dyDescent="0.2">
      <c r="A756" s="1" t="s">
        <v>706</v>
      </c>
      <c r="B756" s="189" t="s">
        <v>68</v>
      </c>
      <c r="C756" s="97" t="s">
        <v>609</v>
      </c>
      <c r="D756" s="189">
        <v>240</v>
      </c>
      <c r="E756" s="47">
        <f>1164.2</f>
        <v>1164.2</v>
      </c>
      <c r="F756" s="110"/>
    </row>
    <row r="757" spans="1:8" x14ac:dyDescent="0.2">
      <c r="A757" s="2" t="s">
        <v>944</v>
      </c>
      <c r="B757" s="189" t="s">
        <v>68</v>
      </c>
      <c r="C757" s="97" t="s">
        <v>609</v>
      </c>
      <c r="D757" s="8">
        <v>610</v>
      </c>
      <c r="E757" s="47">
        <f>65528.4-333.3+3000+4100+1758+509.3</f>
        <v>74562.400000000009</v>
      </c>
      <c r="F757" s="110"/>
      <c r="G757" s="68"/>
    </row>
    <row r="758" spans="1:8" x14ac:dyDescent="0.2">
      <c r="A758" s="2" t="s">
        <v>945</v>
      </c>
      <c r="B758" s="189" t="s">
        <v>68</v>
      </c>
      <c r="C758" s="97" t="s">
        <v>609</v>
      </c>
      <c r="D758" s="8">
        <v>620</v>
      </c>
      <c r="E758" s="47">
        <f>145861.5-3330.1-394+9900+5100+10000+4891.5+452.5</f>
        <v>172481.4</v>
      </c>
      <c r="F758" s="110"/>
      <c r="G758" s="68"/>
      <c r="H758" s="64"/>
    </row>
    <row r="759" spans="1:8" x14ac:dyDescent="0.2">
      <c r="A759" s="40" t="s">
        <v>712</v>
      </c>
      <c r="B759" s="189" t="s">
        <v>68</v>
      </c>
      <c r="C759" s="97" t="s">
        <v>609</v>
      </c>
      <c r="D759" s="189">
        <v>850</v>
      </c>
      <c r="E759" s="47">
        <f>29</f>
        <v>29</v>
      </c>
      <c r="F759" s="111"/>
    </row>
    <row r="760" spans="1:8" ht="116.25" customHeight="1" x14ac:dyDescent="0.2">
      <c r="A760" s="39" t="s">
        <v>380</v>
      </c>
      <c r="B760" s="35" t="s">
        <v>68</v>
      </c>
      <c r="C760" s="36" t="s">
        <v>381</v>
      </c>
      <c r="D760" s="35" t="s">
        <v>0</v>
      </c>
      <c r="E760" s="47">
        <f>SUM(E761:E764)</f>
        <v>2214493.7999999998</v>
      </c>
    </row>
    <row r="761" spans="1:8" x14ac:dyDescent="0.2">
      <c r="A761" s="39" t="s">
        <v>711</v>
      </c>
      <c r="B761" s="35" t="s">
        <v>68</v>
      </c>
      <c r="C761" s="36" t="s">
        <v>381</v>
      </c>
      <c r="D761" s="35">
        <v>110</v>
      </c>
      <c r="E761" s="200">
        <v>20186.3</v>
      </c>
    </row>
    <row r="762" spans="1:8" ht="28.5" customHeight="1" x14ac:dyDescent="0.2">
      <c r="A762" s="1" t="s">
        <v>706</v>
      </c>
      <c r="B762" s="35" t="s">
        <v>68</v>
      </c>
      <c r="C762" s="36" t="s">
        <v>381</v>
      </c>
      <c r="D762" s="35">
        <v>240</v>
      </c>
      <c r="E762" s="200">
        <v>725</v>
      </c>
      <c r="F762" s="119"/>
    </row>
    <row r="763" spans="1:8" x14ac:dyDescent="0.2">
      <c r="A763" s="2" t="s">
        <v>944</v>
      </c>
      <c r="B763" s="35" t="s">
        <v>68</v>
      </c>
      <c r="C763" s="36" t="s">
        <v>381</v>
      </c>
      <c r="D763" s="8">
        <v>610</v>
      </c>
      <c r="E763" s="194">
        <f>962262+21215.1</f>
        <v>983477.1</v>
      </c>
      <c r="F763" s="127"/>
    </row>
    <row r="764" spans="1:8" x14ac:dyDescent="0.2">
      <c r="A764" s="2" t="s">
        <v>945</v>
      </c>
      <c r="B764" s="8" t="s">
        <v>68</v>
      </c>
      <c r="C764" s="7" t="s">
        <v>381</v>
      </c>
      <c r="D764" s="8">
        <v>620</v>
      </c>
      <c r="E764" s="200">
        <f>1165105.4+45000</f>
        <v>1210105.3999999999</v>
      </c>
      <c r="F764" s="120"/>
    </row>
    <row r="765" spans="1:8" ht="47.25" x14ac:dyDescent="0.2">
      <c r="A765" s="84" t="s">
        <v>993</v>
      </c>
      <c r="B765" s="8" t="s">
        <v>68</v>
      </c>
      <c r="C765" s="183" t="s">
        <v>995</v>
      </c>
      <c r="D765" s="203"/>
      <c r="E765" s="200">
        <f>E766+E767</f>
        <v>72000</v>
      </c>
      <c r="F765" s="120"/>
    </row>
    <row r="766" spans="1:8" x14ac:dyDescent="0.2">
      <c r="A766" s="84" t="s">
        <v>944</v>
      </c>
      <c r="B766" s="8" t="s">
        <v>68</v>
      </c>
      <c r="C766" s="183" t="s">
        <v>995</v>
      </c>
      <c r="D766" s="203">
        <v>610</v>
      </c>
      <c r="E766" s="200">
        <v>33000</v>
      </c>
      <c r="F766" s="120"/>
    </row>
    <row r="767" spans="1:8" x14ac:dyDescent="0.2">
      <c r="A767" s="84" t="s">
        <v>956</v>
      </c>
      <c r="B767" s="8" t="s">
        <v>68</v>
      </c>
      <c r="C767" s="183" t="s">
        <v>995</v>
      </c>
      <c r="D767" s="203">
        <v>620</v>
      </c>
      <c r="E767" s="200">
        <v>39000</v>
      </c>
      <c r="F767" s="120"/>
    </row>
    <row r="768" spans="1:8" ht="47.25" x14ac:dyDescent="0.2">
      <c r="A768" s="84" t="s">
        <v>994</v>
      </c>
      <c r="B768" s="21" t="s">
        <v>68</v>
      </c>
      <c r="C768" s="183" t="s">
        <v>996</v>
      </c>
      <c r="D768" s="203"/>
      <c r="E768" s="204">
        <f>E769+E770</f>
        <v>727.3</v>
      </c>
      <c r="F768" s="120"/>
    </row>
    <row r="769" spans="1:7" x14ac:dyDescent="0.2">
      <c r="A769" s="84" t="s">
        <v>944</v>
      </c>
      <c r="B769" s="8" t="s">
        <v>68</v>
      </c>
      <c r="C769" s="183" t="s">
        <v>996</v>
      </c>
      <c r="D769" s="203">
        <v>610</v>
      </c>
      <c r="E769" s="204">
        <v>333.3</v>
      </c>
      <c r="F769" s="120"/>
    </row>
    <row r="770" spans="1:7" x14ac:dyDescent="0.2">
      <c r="A770" s="84" t="s">
        <v>956</v>
      </c>
      <c r="B770" s="8" t="s">
        <v>68</v>
      </c>
      <c r="C770" s="183" t="s">
        <v>996</v>
      </c>
      <c r="D770" s="203">
        <v>620</v>
      </c>
      <c r="E770" s="204">
        <v>394</v>
      </c>
      <c r="F770" s="120"/>
    </row>
    <row r="771" spans="1:7" x14ac:dyDescent="0.2">
      <c r="A771" s="41" t="s">
        <v>222</v>
      </c>
      <c r="B771" s="23" t="s">
        <v>68</v>
      </c>
      <c r="C771" s="24" t="s">
        <v>388</v>
      </c>
      <c r="D771" s="23"/>
      <c r="E771" s="47">
        <f>E772</f>
        <v>19201.2</v>
      </c>
    </row>
    <row r="772" spans="1:7" ht="31.5" x14ac:dyDescent="0.2">
      <c r="A772" s="41" t="s">
        <v>302</v>
      </c>
      <c r="B772" s="23" t="s">
        <v>68</v>
      </c>
      <c r="C772" s="24" t="s">
        <v>610</v>
      </c>
      <c r="D772" s="23"/>
      <c r="E772" s="47">
        <f>E773</f>
        <v>19201.2</v>
      </c>
    </row>
    <row r="773" spans="1:7" x14ac:dyDescent="0.2">
      <c r="A773" s="2" t="s">
        <v>944</v>
      </c>
      <c r="B773" s="23" t="s">
        <v>68</v>
      </c>
      <c r="C773" s="24" t="s">
        <v>610</v>
      </c>
      <c r="D773" s="8">
        <v>610</v>
      </c>
      <c r="E773" s="47">
        <f>18554.7+500+146.5</f>
        <v>19201.2</v>
      </c>
      <c r="F773" s="137"/>
    </row>
    <row r="774" spans="1:7" x14ac:dyDescent="0.2">
      <c r="A774" s="41" t="s">
        <v>202</v>
      </c>
      <c r="B774" s="23" t="s">
        <v>68</v>
      </c>
      <c r="C774" s="24" t="s">
        <v>550</v>
      </c>
      <c r="D774" s="23" t="s">
        <v>0</v>
      </c>
      <c r="E774" s="47">
        <f>E775+E779</f>
        <v>24650</v>
      </c>
    </row>
    <row r="775" spans="1:7" ht="31.5" x14ac:dyDescent="0.2">
      <c r="A775" s="41" t="s">
        <v>203</v>
      </c>
      <c r="B775" s="23" t="s">
        <v>68</v>
      </c>
      <c r="C775" s="24" t="s">
        <v>551</v>
      </c>
      <c r="D775" s="23" t="s">
        <v>0</v>
      </c>
      <c r="E775" s="47">
        <f>E776</f>
        <v>23000</v>
      </c>
    </row>
    <row r="776" spans="1:7" ht="31.5" x14ac:dyDescent="0.2">
      <c r="A776" s="41" t="s">
        <v>302</v>
      </c>
      <c r="B776" s="23" t="s">
        <v>68</v>
      </c>
      <c r="C776" s="24" t="s">
        <v>552</v>
      </c>
      <c r="D776" s="23"/>
      <c r="E776" s="47">
        <f>E777+E778</f>
        <v>23000</v>
      </c>
    </row>
    <row r="777" spans="1:7" x14ac:dyDescent="0.2">
      <c r="A777" s="2" t="s">
        <v>944</v>
      </c>
      <c r="B777" s="23" t="s">
        <v>68</v>
      </c>
      <c r="C777" s="24" t="s">
        <v>552</v>
      </c>
      <c r="D777" s="8">
        <v>610</v>
      </c>
      <c r="E777" s="47">
        <f>11500</f>
        <v>11500</v>
      </c>
      <c r="F777" s="110"/>
    </row>
    <row r="778" spans="1:7" x14ac:dyDescent="0.2">
      <c r="A778" s="2" t="s">
        <v>945</v>
      </c>
      <c r="B778" s="23" t="s">
        <v>68</v>
      </c>
      <c r="C778" s="24" t="s">
        <v>552</v>
      </c>
      <c r="D778" s="8">
        <v>620</v>
      </c>
      <c r="E778" s="47">
        <f>11500</f>
        <v>11500</v>
      </c>
      <c r="F778" s="110"/>
    </row>
    <row r="779" spans="1:7" ht="31.5" x14ac:dyDescent="0.2">
      <c r="A779" s="40" t="s">
        <v>204</v>
      </c>
      <c r="B779" s="189" t="s">
        <v>68</v>
      </c>
      <c r="C779" s="97" t="s">
        <v>553</v>
      </c>
      <c r="D779" s="189" t="s">
        <v>0</v>
      </c>
      <c r="E779" s="47">
        <f>E780</f>
        <v>1650</v>
      </c>
    </row>
    <row r="780" spans="1:7" ht="31.5" x14ac:dyDescent="0.2">
      <c r="A780" s="40" t="s">
        <v>302</v>
      </c>
      <c r="B780" s="189" t="s">
        <v>68</v>
      </c>
      <c r="C780" s="97" t="s">
        <v>554</v>
      </c>
      <c r="D780" s="189"/>
      <c r="E780" s="47">
        <f>E781</f>
        <v>1650</v>
      </c>
    </row>
    <row r="781" spans="1:7" x14ac:dyDescent="0.2">
      <c r="A781" s="2" t="s">
        <v>945</v>
      </c>
      <c r="B781" s="189" t="s">
        <v>68</v>
      </c>
      <c r="C781" s="97" t="s">
        <v>554</v>
      </c>
      <c r="D781" s="8">
        <v>620</v>
      </c>
      <c r="E781" s="47">
        <f>1650</f>
        <v>1650</v>
      </c>
      <c r="F781" s="110"/>
      <c r="G781" s="64"/>
    </row>
    <row r="782" spans="1:7" x14ac:dyDescent="0.2">
      <c r="A782" s="11" t="s">
        <v>205</v>
      </c>
      <c r="B782" s="8" t="s">
        <v>68</v>
      </c>
      <c r="C782" s="7" t="s">
        <v>373</v>
      </c>
      <c r="D782" s="8" t="s">
        <v>0</v>
      </c>
      <c r="E782" s="47">
        <f>E783</f>
        <v>4465.7</v>
      </c>
    </row>
    <row r="783" spans="1:7" ht="53.25" customHeight="1" x14ac:dyDescent="0.2">
      <c r="A783" s="41" t="s">
        <v>628</v>
      </c>
      <c r="B783" s="23" t="s">
        <v>68</v>
      </c>
      <c r="C783" s="24" t="s">
        <v>438</v>
      </c>
      <c r="D783" s="8"/>
      <c r="E783" s="47">
        <f>E784</f>
        <v>4465.7</v>
      </c>
    </row>
    <row r="784" spans="1:7" ht="47.25" x14ac:dyDescent="0.2">
      <c r="A784" s="39" t="s">
        <v>871</v>
      </c>
      <c r="B784" s="8" t="s">
        <v>68</v>
      </c>
      <c r="C784" s="7" t="s">
        <v>372</v>
      </c>
      <c r="D784" s="8" t="s">
        <v>0</v>
      </c>
      <c r="E784" s="47">
        <f>E785+E786</f>
        <v>4465.7</v>
      </c>
    </row>
    <row r="785" spans="1:6" x14ac:dyDescent="0.2">
      <c r="A785" s="2" t="s">
        <v>944</v>
      </c>
      <c r="B785" s="8" t="s">
        <v>68</v>
      </c>
      <c r="C785" s="7" t="s">
        <v>372</v>
      </c>
      <c r="D785" s="8">
        <v>610</v>
      </c>
      <c r="E785" s="170">
        <v>1485.5</v>
      </c>
      <c r="F785" s="55"/>
    </row>
    <row r="786" spans="1:6" x14ac:dyDescent="0.2">
      <c r="A786" s="2" t="s">
        <v>945</v>
      </c>
      <c r="B786" s="8" t="s">
        <v>68</v>
      </c>
      <c r="C786" s="7" t="s">
        <v>372</v>
      </c>
      <c r="D786" s="8">
        <v>620</v>
      </c>
      <c r="E786" s="170">
        <v>2980.2</v>
      </c>
      <c r="F786" s="55"/>
    </row>
    <row r="787" spans="1:6" ht="31.5" x14ac:dyDescent="0.2">
      <c r="A787" s="39" t="s">
        <v>756</v>
      </c>
      <c r="B787" s="8" t="s">
        <v>68</v>
      </c>
      <c r="C787" s="7" t="s">
        <v>287</v>
      </c>
      <c r="D787" s="8" t="s">
        <v>0</v>
      </c>
      <c r="E787" s="47">
        <f>E788+E795+E800+E803</f>
        <v>1311097.7</v>
      </c>
    </row>
    <row r="788" spans="1:6" x14ac:dyDescent="0.2">
      <c r="A788" s="5" t="s">
        <v>213</v>
      </c>
      <c r="B788" s="8" t="s">
        <v>68</v>
      </c>
      <c r="C788" s="7" t="s">
        <v>289</v>
      </c>
      <c r="D788" s="8" t="s">
        <v>0</v>
      </c>
      <c r="E788" s="47">
        <f>E793+E791+E789</f>
        <v>1149623.3</v>
      </c>
    </row>
    <row r="789" spans="1:6" x14ac:dyDescent="0.2">
      <c r="A789" s="5" t="s">
        <v>1076</v>
      </c>
      <c r="B789" s="8" t="s">
        <v>68</v>
      </c>
      <c r="C789" s="7" t="s">
        <v>975</v>
      </c>
      <c r="D789" s="8"/>
      <c r="E789" s="47">
        <f>E790</f>
        <v>5000</v>
      </c>
    </row>
    <row r="790" spans="1:6" ht="31.5" x14ac:dyDescent="0.2">
      <c r="A790" s="5" t="s">
        <v>157</v>
      </c>
      <c r="B790" s="8" t="s">
        <v>68</v>
      </c>
      <c r="C790" s="7" t="s">
        <v>975</v>
      </c>
      <c r="D790" s="8">
        <v>414</v>
      </c>
      <c r="E790" s="47">
        <v>5000</v>
      </c>
    </row>
    <row r="791" spans="1:6" ht="31.5" x14ac:dyDescent="0.2">
      <c r="A791" s="11" t="s">
        <v>722</v>
      </c>
      <c r="B791" s="8" t="s">
        <v>68</v>
      </c>
      <c r="C791" s="7" t="s">
        <v>724</v>
      </c>
      <c r="D791" s="8"/>
      <c r="E791" s="47">
        <f>E792</f>
        <v>801070.4</v>
      </c>
    </row>
    <row r="792" spans="1:6" ht="31.5" x14ac:dyDescent="0.2">
      <c r="A792" s="11" t="s">
        <v>157</v>
      </c>
      <c r="B792" s="8" t="s">
        <v>68</v>
      </c>
      <c r="C792" s="7" t="s">
        <v>724</v>
      </c>
      <c r="D792" s="8">
        <v>414</v>
      </c>
      <c r="E792" s="47">
        <v>801070.4</v>
      </c>
    </row>
    <row r="793" spans="1:6" ht="47.25" x14ac:dyDescent="0.2">
      <c r="A793" s="11" t="s">
        <v>716</v>
      </c>
      <c r="B793" s="8" t="s">
        <v>68</v>
      </c>
      <c r="C793" s="7" t="s">
        <v>719</v>
      </c>
      <c r="D793" s="8"/>
      <c r="E793" s="47">
        <f>E794</f>
        <v>343552.9</v>
      </c>
    </row>
    <row r="794" spans="1:6" ht="31.5" x14ac:dyDescent="0.2">
      <c r="A794" s="11" t="s">
        <v>157</v>
      </c>
      <c r="B794" s="8" t="s">
        <v>68</v>
      </c>
      <c r="C794" s="7" t="s">
        <v>719</v>
      </c>
      <c r="D794" s="8">
        <v>414</v>
      </c>
      <c r="E794" s="47">
        <f>343315.9+237</f>
        <v>343552.9</v>
      </c>
      <c r="F794" s="75"/>
    </row>
    <row r="795" spans="1:6" ht="33" customHeight="1" x14ac:dyDescent="0.2">
      <c r="A795" s="39" t="s">
        <v>759</v>
      </c>
      <c r="B795" s="8" t="s">
        <v>68</v>
      </c>
      <c r="C795" s="36" t="s">
        <v>760</v>
      </c>
      <c r="D795" s="35"/>
      <c r="E795" s="47">
        <f>E798+E796</f>
        <v>89745.400000000009</v>
      </c>
    </row>
    <row r="796" spans="1:6" ht="33" customHeight="1" x14ac:dyDescent="0.2">
      <c r="A796" s="39" t="s">
        <v>1076</v>
      </c>
      <c r="B796" s="8" t="s">
        <v>68</v>
      </c>
      <c r="C796" s="36" t="s">
        <v>1075</v>
      </c>
      <c r="D796" s="35"/>
      <c r="E796" s="47">
        <f>E797</f>
        <v>48830.1</v>
      </c>
    </row>
    <row r="797" spans="1:6" ht="33" customHeight="1" x14ac:dyDescent="0.2">
      <c r="A797" s="39" t="s">
        <v>157</v>
      </c>
      <c r="B797" s="8" t="s">
        <v>68</v>
      </c>
      <c r="C797" s="36" t="s">
        <v>1075</v>
      </c>
      <c r="D797" s="35">
        <v>414</v>
      </c>
      <c r="E797" s="47">
        <v>48830.1</v>
      </c>
    </row>
    <row r="798" spans="1:6" ht="47.25" x14ac:dyDescent="0.2">
      <c r="A798" s="11" t="s">
        <v>716</v>
      </c>
      <c r="B798" s="8" t="s">
        <v>68</v>
      </c>
      <c r="C798" s="36" t="s">
        <v>778</v>
      </c>
      <c r="D798" s="35"/>
      <c r="E798" s="47">
        <f>E799</f>
        <v>40915.30000000001</v>
      </c>
    </row>
    <row r="799" spans="1:6" ht="31.5" x14ac:dyDescent="0.2">
      <c r="A799" s="39" t="s">
        <v>157</v>
      </c>
      <c r="B799" s="8" t="s">
        <v>68</v>
      </c>
      <c r="C799" s="36" t="s">
        <v>778</v>
      </c>
      <c r="D799" s="35">
        <v>414</v>
      </c>
      <c r="E799" s="47">
        <f>37505.8-261.1-2377.7+6048.3</f>
        <v>40915.30000000001</v>
      </c>
      <c r="F799" s="75"/>
    </row>
    <row r="800" spans="1:6" x14ac:dyDescent="0.2">
      <c r="A800" s="185" t="s">
        <v>972</v>
      </c>
      <c r="B800" s="8" t="s">
        <v>68</v>
      </c>
      <c r="C800" s="36" t="s">
        <v>974</v>
      </c>
      <c r="D800" s="35"/>
      <c r="E800" s="47">
        <f>E801</f>
        <v>68729</v>
      </c>
      <c r="F800" s="75"/>
    </row>
    <row r="801" spans="1:7" ht="47.25" x14ac:dyDescent="0.2">
      <c r="A801" s="186" t="s">
        <v>971</v>
      </c>
      <c r="B801" s="35" t="s">
        <v>68</v>
      </c>
      <c r="C801" s="36" t="s">
        <v>973</v>
      </c>
      <c r="D801" s="35"/>
      <c r="E801" s="47">
        <f>E802</f>
        <v>68729</v>
      </c>
      <c r="F801" s="75"/>
    </row>
    <row r="802" spans="1:7" ht="31.5" x14ac:dyDescent="0.2">
      <c r="A802" s="1" t="s">
        <v>706</v>
      </c>
      <c r="B802" s="35" t="s">
        <v>68</v>
      </c>
      <c r="C802" s="36" t="s">
        <v>973</v>
      </c>
      <c r="D802" s="35">
        <v>240</v>
      </c>
      <c r="E802" s="47">
        <f>30000+38729</f>
        <v>68729</v>
      </c>
      <c r="F802" s="75"/>
    </row>
    <row r="803" spans="1:7" x14ac:dyDescent="0.2">
      <c r="A803" s="44" t="s">
        <v>725</v>
      </c>
      <c r="B803" s="35" t="s">
        <v>68</v>
      </c>
      <c r="C803" s="36" t="s">
        <v>726</v>
      </c>
      <c r="D803" s="35"/>
      <c r="E803" s="170">
        <f>E804</f>
        <v>3000</v>
      </c>
    </row>
    <row r="804" spans="1:7" ht="31.5" x14ac:dyDescent="0.2">
      <c r="A804" s="39" t="s">
        <v>302</v>
      </c>
      <c r="B804" s="35" t="s">
        <v>68</v>
      </c>
      <c r="C804" s="36" t="s">
        <v>744</v>
      </c>
      <c r="D804" s="35"/>
      <c r="E804" s="170">
        <f>E805</f>
        <v>3000</v>
      </c>
    </row>
    <row r="805" spans="1:7" x14ac:dyDescent="0.2">
      <c r="A805" s="2" t="s">
        <v>944</v>
      </c>
      <c r="B805" s="35" t="s">
        <v>68</v>
      </c>
      <c r="C805" s="36" t="s">
        <v>744</v>
      </c>
      <c r="D805" s="8">
        <v>610</v>
      </c>
      <c r="E805" s="170">
        <f>3000</f>
        <v>3000</v>
      </c>
      <c r="F805" s="110"/>
      <c r="G805" s="77"/>
    </row>
    <row r="806" spans="1:7" x14ac:dyDescent="0.2">
      <c r="A806" s="40" t="s">
        <v>207</v>
      </c>
      <c r="B806" s="189" t="s">
        <v>68</v>
      </c>
      <c r="C806" s="97" t="s">
        <v>421</v>
      </c>
      <c r="D806" s="189" t="s">
        <v>0</v>
      </c>
      <c r="E806" s="47">
        <f>E807</f>
        <v>47948</v>
      </c>
    </row>
    <row r="807" spans="1:7" ht="31.5" x14ac:dyDescent="0.2">
      <c r="A807" s="40" t="s">
        <v>208</v>
      </c>
      <c r="B807" s="189" t="s">
        <v>68</v>
      </c>
      <c r="C807" s="97" t="s">
        <v>428</v>
      </c>
      <c r="D807" s="189" t="s">
        <v>0</v>
      </c>
      <c r="E807" s="47">
        <f>E809</f>
        <v>47948</v>
      </c>
    </row>
    <row r="808" spans="1:7" ht="47.25" x14ac:dyDescent="0.2">
      <c r="A808" s="41" t="s">
        <v>638</v>
      </c>
      <c r="B808" s="23" t="s">
        <v>68</v>
      </c>
      <c r="C808" s="24" t="s">
        <v>637</v>
      </c>
      <c r="D808" s="23"/>
      <c r="E808" s="47">
        <f>E809</f>
        <v>47948</v>
      </c>
    </row>
    <row r="809" spans="1:7" ht="47.25" x14ac:dyDescent="0.2">
      <c r="A809" s="2" t="s">
        <v>682</v>
      </c>
      <c r="B809" s="23" t="s">
        <v>68</v>
      </c>
      <c r="C809" s="24" t="s">
        <v>637</v>
      </c>
      <c r="D809" s="23">
        <v>810</v>
      </c>
      <c r="E809" s="47">
        <f>49563.3-1615.3</f>
        <v>47948</v>
      </c>
    </row>
    <row r="810" spans="1:7" ht="110.25" x14ac:dyDescent="0.2">
      <c r="A810" s="40" t="s">
        <v>733</v>
      </c>
      <c r="B810" s="23" t="s">
        <v>68</v>
      </c>
      <c r="C810" s="97" t="s">
        <v>736</v>
      </c>
      <c r="D810" s="189"/>
      <c r="E810" s="47">
        <f>E811+E812</f>
        <v>191.8</v>
      </c>
    </row>
    <row r="811" spans="1:7" x14ac:dyDescent="0.2">
      <c r="A811" s="2" t="s">
        <v>944</v>
      </c>
      <c r="B811" s="23" t="s">
        <v>68</v>
      </c>
      <c r="C811" s="97" t="s">
        <v>736</v>
      </c>
      <c r="D811" s="8">
        <v>610</v>
      </c>
      <c r="E811" s="170">
        <v>141</v>
      </c>
      <c r="F811" s="113"/>
    </row>
    <row r="812" spans="1:7" x14ac:dyDescent="0.2">
      <c r="A812" s="2" t="s">
        <v>945</v>
      </c>
      <c r="B812" s="23" t="s">
        <v>68</v>
      </c>
      <c r="C812" s="97" t="s">
        <v>736</v>
      </c>
      <c r="D812" s="8">
        <v>620</v>
      </c>
      <c r="E812" s="170">
        <v>50.8</v>
      </c>
      <c r="F812" s="110"/>
    </row>
    <row r="813" spans="1:7" x14ac:dyDescent="0.2">
      <c r="A813" s="20" t="s">
        <v>767</v>
      </c>
      <c r="B813" s="15" t="s">
        <v>768</v>
      </c>
      <c r="C813" s="15"/>
      <c r="D813" s="18"/>
      <c r="E813" s="182">
        <f>E814+E827+E838</f>
        <v>692934.8</v>
      </c>
    </row>
    <row r="814" spans="1:7" ht="31.5" x14ac:dyDescent="0.2">
      <c r="A814" s="11" t="s">
        <v>149</v>
      </c>
      <c r="B814" s="7" t="s">
        <v>768</v>
      </c>
      <c r="C814" s="24" t="s">
        <v>288</v>
      </c>
      <c r="D814" s="8"/>
      <c r="E814" s="47">
        <f>E815+E823</f>
        <v>165853.39999999997</v>
      </c>
    </row>
    <row r="815" spans="1:7" ht="31.5" x14ac:dyDescent="0.2">
      <c r="A815" s="41" t="s">
        <v>211</v>
      </c>
      <c r="B815" s="7" t="s">
        <v>768</v>
      </c>
      <c r="C815" s="24" t="s">
        <v>418</v>
      </c>
      <c r="D815" s="8"/>
      <c r="E815" s="47">
        <f>E816</f>
        <v>153706.09999999998</v>
      </c>
    </row>
    <row r="816" spans="1:7" x14ac:dyDescent="0.2">
      <c r="A816" s="39" t="s">
        <v>212</v>
      </c>
      <c r="B816" s="7" t="s">
        <v>768</v>
      </c>
      <c r="C816" s="36" t="s">
        <v>615</v>
      </c>
      <c r="D816" s="35"/>
      <c r="E816" s="47">
        <f>E817+E820</f>
        <v>153706.09999999998</v>
      </c>
    </row>
    <row r="817" spans="1:8" ht="31.5" x14ac:dyDescent="0.2">
      <c r="A817" s="39" t="s">
        <v>302</v>
      </c>
      <c r="B817" s="7" t="s">
        <v>768</v>
      </c>
      <c r="C817" s="36" t="s">
        <v>616</v>
      </c>
      <c r="D817" s="35"/>
      <c r="E817" s="47">
        <f>E818+E819</f>
        <v>123029.09999999999</v>
      </c>
    </row>
    <row r="818" spans="1:8" x14ac:dyDescent="0.2">
      <c r="A818" s="2" t="s">
        <v>944</v>
      </c>
      <c r="B818" s="7" t="s">
        <v>768</v>
      </c>
      <c r="C818" s="36" t="s">
        <v>616</v>
      </c>
      <c r="D818" s="8">
        <v>610</v>
      </c>
      <c r="E818" s="47">
        <f>28866.5+500+551.5+200+146.5</f>
        <v>30264.5</v>
      </c>
      <c r="F818" s="110"/>
      <c r="G818" s="70"/>
    </row>
    <row r="819" spans="1:8" x14ac:dyDescent="0.2">
      <c r="A819" s="2" t="s">
        <v>945</v>
      </c>
      <c r="B819" s="7" t="s">
        <v>768</v>
      </c>
      <c r="C819" s="36" t="s">
        <v>616</v>
      </c>
      <c r="D819" s="8">
        <v>620</v>
      </c>
      <c r="E819" s="47">
        <f>90395.2+702+1520.9+146.5</f>
        <v>92764.599999999991</v>
      </c>
      <c r="F819" s="110"/>
      <c r="G819" s="70"/>
    </row>
    <row r="820" spans="1:8" ht="129" customHeight="1" x14ac:dyDescent="0.2">
      <c r="A820" s="39" t="s">
        <v>380</v>
      </c>
      <c r="B820" s="7" t="s">
        <v>768</v>
      </c>
      <c r="C820" s="36" t="s">
        <v>814</v>
      </c>
      <c r="D820" s="35"/>
      <c r="E820" s="47">
        <f>E821+E822</f>
        <v>30677</v>
      </c>
    </row>
    <row r="821" spans="1:8" x14ac:dyDescent="0.2">
      <c r="A821" s="2" t="s">
        <v>944</v>
      </c>
      <c r="B821" s="7" t="s">
        <v>768</v>
      </c>
      <c r="C821" s="36" t="s">
        <v>814</v>
      </c>
      <c r="D821" s="8">
        <v>610</v>
      </c>
      <c r="E821" s="200">
        <f>8592.5+984.5</f>
        <v>9577</v>
      </c>
      <c r="F821" s="112"/>
      <c r="G821" s="85"/>
    </row>
    <row r="822" spans="1:8" x14ac:dyDescent="0.2">
      <c r="A822" s="2" t="s">
        <v>945</v>
      </c>
      <c r="B822" s="7" t="s">
        <v>768</v>
      </c>
      <c r="C822" s="36" t="s">
        <v>814</v>
      </c>
      <c r="D822" s="8">
        <v>620</v>
      </c>
      <c r="E822" s="200">
        <f>19000+2100</f>
        <v>21100</v>
      </c>
      <c r="F822" s="112"/>
      <c r="G822" s="85"/>
    </row>
    <row r="823" spans="1:8" ht="31.5" x14ac:dyDescent="0.2">
      <c r="A823" s="11" t="s">
        <v>756</v>
      </c>
      <c r="B823" s="7" t="s">
        <v>768</v>
      </c>
      <c r="C823" s="36" t="s">
        <v>287</v>
      </c>
      <c r="D823" s="35"/>
      <c r="E823" s="47">
        <f>E824</f>
        <v>12147.3</v>
      </c>
    </row>
    <row r="824" spans="1:8" x14ac:dyDescent="0.2">
      <c r="A824" s="5" t="s">
        <v>213</v>
      </c>
      <c r="B824" s="7" t="s">
        <v>768</v>
      </c>
      <c r="C824" s="7" t="s">
        <v>289</v>
      </c>
      <c r="D824" s="8"/>
      <c r="E824" s="47">
        <f>E825</f>
        <v>12147.3</v>
      </c>
    </row>
    <row r="825" spans="1:8" x14ac:dyDescent="0.2">
      <c r="A825" s="1" t="s">
        <v>376</v>
      </c>
      <c r="B825" s="7" t="s">
        <v>768</v>
      </c>
      <c r="C825" s="7" t="s">
        <v>975</v>
      </c>
      <c r="D825" s="8"/>
      <c r="E825" s="47">
        <f>E826</f>
        <v>12147.3</v>
      </c>
    </row>
    <row r="826" spans="1:8" ht="31.5" x14ac:dyDescent="0.2">
      <c r="A826" s="39" t="s">
        <v>157</v>
      </c>
      <c r="B826" s="7" t="s">
        <v>768</v>
      </c>
      <c r="C826" s="7" t="s">
        <v>975</v>
      </c>
      <c r="D826" s="8">
        <v>414</v>
      </c>
      <c r="E826" s="47">
        <f>10000+2147.3</f>
        <v>12147.3</v>
      </c>
      <c r="F826" s="75"/>
    </row>
    <row r="827" spans="1:8" ht="47.25" x14ac:dyDescent="0.2">
      <c r="A827" s="39" t="s">
        <v>127</v>
      </c>
      <c r="B827" s="7" t="s">
        <v>768</v>
      </c>
      <c r="C827" s="36" t="s">
        <v>292</v>
      </c>
      <c r="D827" s="8"/>
      <c r="E827" s="47">
        <f>E828+E834</f>
        <v>156065.79999999999</v>
      </c>
    </row>
    <row r="828" spans="1:8" x14ac:dyDescent="0.2">
      <c r="A828" s="11" t="s">
        <v>214</v>
      </c>
      <c r="B828" s="7" t="s">
        <v>768</v>
      </c>
      <c r="C828" s="7" t="s">
        <v>416</v>
      </c>
      <c r="D828" s="8" t="s">
        <v>0</v>
      </c>
      <c r="E828" s="47">
        <f>E829+E832</f>
        <v>153502</v>
      </c>
    </row>
    <row r="829" spans="1:8" ht="31.5" x14ac:dyDescent="0.2">
      <c r="A829" s="11" t="s">
        <v>302</v>
      </c>
      <c r="B829" s="7" t="s">
        <v>768</v>
      </c>
      <c r="C829" s="7" t="s">
        <v>599</v>
      </c>
      <c r="D829" s="8"/>
      <c r="E829" s="47">
        <f>E830+E831</f>
        <v>153452</v>
      </c>
    </row>
    <row r="830" spans="1:8" x14ac:dyDescent="0.2">
      <c r="A830" s="2" t="s">
        <v>944</v>
      </c>
      <c r="B830" s="7" t="s">
        <v>768</v>
      </c>
      <c r="C830" s="7" t="s">
        <v>599</v>
      </c>
      <c r="D830" s="8">
        <v>610</v>
      </c>
      <c r="E830" s="47">
        <f>109213.3+1527</f>
        <v>110740.3</v>
      </c>
      <c r="F830" s="124"/>
      <c r="G830" s="60"/>
      <c r="H830" s="46"/>
    </row>
    <row r="831" spans="1:8" x14ac:dyDescent="0.2">
      <c r="A831" s="2" t="s">
        <v>945</v>
      </c>
      <c r="B831" s="7" t="s">
        <v>768</v>
      </c>
      <c r="C831" s="7" t="s">
        <v>599</v>
      </c>
      <c r="D831" s="8">
        <v>620</v>
      </c>
      <c r="E831" s="47">
        <f>47048.4+717.4-5054.1</f>
        <v>42711.700000000004</v>
      </c>
      <c r="F831" s="111"/>
      <c r="G831" s="143"/>
    </row>
    <row r="832" spans="1:8" ht="47.25" x14ac:dyDescent="0.2">
      <c r="A832" s="39" t="s">
        <v>871</v>
      </c>
      <c r="B832" s="7" t="s">
        <v>768</v>
      </c>
      <c r="C832" s="36" t="s">
        <v>779</v>
      </c>
      <c r="D832" s="35"/>
      <c r="E832" s="47">
        <f>E833</f>
        <v>50</v>
      </c>
      <c r="F832" s="111"/>
    </row>
    <row r="833" spans="1:8" x14ac:dyDescent="0.2">
      <c r="A833" s="2" t="s">
        <v>944</v>
      </c>
      <c r="B833" s="7" t="s">
        <v>768</v>
      </c>
      <c r="C833" s="36" t="s">
        <v>779</v>
      </c>
      <c r="D833" s="8">
        <v>610</v>
      </c>
      <c r="E833" s="47">
        <v>50</v>
      </c>
      <c r="F833" s="112"/>
    </row>
    <row r="834" spans="1:8" ht="31.5" x14ac:dyDescent="0.2">
      <c r="A834" s="11" t="s">
        <v>128</v>
      </c>
      <c r="B834" s="7" t="s">
        <v>768</v>
      </c>
      <c r="C834" s="7" t="s">
        <v>426</v>
      </c>
      <c r="D834" s="8" t="s">
        <v>0</v>
      </c>
      <c r="E834" s="47">
        <f>E835</f>
        <v>2563.8000000000002</v>
      </c>
    </row>
    <row r="835" spans="1:8" ht="31.5" x14ac:dyDescent="0.2">
      <c r="A835" s="11" t="s">
        <v>302</v>
      </c>
      <c r="B835" s="7" t="s">
        <v>768</v>
      </c>
      <c r="C835" s="7" t="s">
        <v>601</v>
      </c>
      <c r="D835" s="8"/>
      <c r="E835" s="47">
        <f>E836+E837</f>
        <v>2563.8000000000002</v>
      </c>
    </row>
    <row r="836" spans="1:8" x14ac:dyDescent="0.2">
      <c r="A836" s="2" t="s">
        <v>944</v>
      </c>
      <c r="B836" s="7" t="s">
        <v>768</v>
      </c>
      <c r="C836" s="7" t="s">
        <v>601</v>
      </c>
      <c r="D836" s="8">
        <v>610</v>
      </c>
      <c r="E836" s="47">
        <v>1776</v>
      </c>
      <c r="F836" s="111"/>
    </row>
    <row r="837" spans="1:8" x14ac:dyDescent="0.2">
      <c r="A837" s="2" t="s">
        <v>945</v>
      </c>
      <c r="B837" s="7" t="s">
        <v>768</v>
      </c>
      <c r="C837" s="7" t="s">
        <v>601</v>
      </c>
      <c r="D837" s="8">
        <v>620</v>
      </c>
      <c r="E837" s="47">
        <f>3415.8-2628</f>
        <v>787.80000000000018</v>
      </c>
      <c r="F837" s="257"/>
    </row>
    <row r="838" spans="1:8" ht="34.5" customHeight="1" x14ac:dyDescent="0.2">
      <c r="A838" s="39" t="s">
        <v>129</v>
      </c>
      <c r="B838" s="7" t="s">
        <v>768</v>
      </c>
      <c r="C838" s="36" t="s">
        <v>290</v>
      </c>
      <c r="D838" s="8"/>
      <c r="E838" s="47">
        <f>E839+E842+E845</f>
        <v>371015.60000000003</v>
      </c>
    </row>
    <row r="839" spans="1:8" x14ac:dyDescent="0.2">
      <c r="A839" s="39" t="s">
        <v>215</v>
      </c>
      <c r="B839" s="7" t="s">
        <v>768</v>
      </c>
      <c r="C839" s="36" t="s">
        <v>291</v>
      </c>
      <c r="D839" s="8"/>
      <c r="E839" s="47">
        <f>E840</f>
        <v>300</v>
      </c>
    </row>
    <row r="840" spans="1:8" ht="47.25" x14ac:dyDescent="0.2">
      <c r="A840" s="39" t="s">
        <v>871</v>
      </c>
      <c r="B840" s="7" t="s">
        <v>768</v>
      </c>
      <c r="C840" s="7" t="s">
        <v>415</v>
      </c>
      <c r="D840" s="8" t="s">
        <v>0</v>
      </c>
      <c r="E840" s="47">
        <f>E841</f>
        <v>300</v>
      </c>
    </row>
    <row r="841" spans="1:8" x14ac:dyDescent="0.2">
      <c r="A841" s="2" t="s">
        <v>944</v>
      </c>
      <c r="B841" s="7" t="s">
        <v>768</v>
      </c>
      <c r="C841" s="7" t="s">
        <v>415</v>
      </c>
      <c r="D841" s="8">
        <v>610</v>
      </c>
      <c r="E841" s="47">
        <v>300</v>
      </c>
      <c r="F841" s="139"/>
    </row>
    <row r="842" spans="1:8" ht="31.5" x14ac:dyDescent="0.2">
      <c r="A842" s="11" t="s">
        <v>232</v>
      </c>
      <c r="B842" s="7" t="s">
        <v>768</v>
      </c>
      <c r="C842" s="7" t="s">
        <v>639</v>
      </c>
      <c r="D842" s="7"/>
      <c r="E842" s="47">
        <f>E843</f>
        <v>3802</v>
      </c>
    </row>
    <row r="843" spans="1:8" ht="31.5" x14ac:dyDescent="0.2">
      <c r="A843" s="11" t="s">
        <v>302</v>
      </c>
      <c r="B843" s="7" t="s">
        <v>768</v>
      </c>
      <c r="C843" s="7" t="s">
        <v>649</v>
      </c>
      <c r="D843" s="8"/>
      <c r="E843" s="47">
        <f>E844</f>
        <v>3802</v>
      </c>
    </row>
    <row r="844" spans="1:8" x14ac:dyDescent="0.2">
      <c r="A844" s="2" t="s">
        <v>944</v>
      </c>
      <c r="B844" s="7" t="s">
        <v>768</v>
      </c>
      <c r="C844" s="7" t="s">
        <v>649</v>
      </c>
      <c r="D844" s="8">
        <v>610</v>
      </c>
      <c r="E844" s="47">
        <v>3802</v>
      </c>
      <c r="F844" s="111"/>
    </row>
    <row r="845" spans="1:8" ht="31.5" x14ac:dyDescent="0.2">
      <c r="A845" s="11" t="s">
        <v>216</v>
      </c>
      <c r="B845" s="7" t="s">
        <v>768</v>
      </c>
      <c r="C845" s="7" t="s">
        <v>641</v>
      </c>
      <c r="D845" s="8" t="s">
        <v>0</v>
      </c>
      <c r="E845" s="47">
        <f>E846+E848</f>
        <v>366913.60000000003</v>
      </c>
    </row>
    <row r="846" spans="1:8" ht="31.5" x14ac:dyDescent="0.2">
      <c r="A846" s="11" t="s">
        <v>302</v>
      </c>
      <c r="B846" s="7" t="s">
        <v>768</v>
      </c>
      <c r="C846" s="7" t="s">
        <v>642</v>
      </c>
      <c r="D846" s="8"/>
      <c r="E846" s="47">
        <f>E847</f>
        <v>366343.60000000003</v>
      </c>
    </row>
    <row r="847" spans="1:8" x14ac:dyDescent="0.2">
      <c r="A847" s="2" t="s">
        <v>944</v>
      </c>
      <c r="B847" s="7" t="s">
        <v>768</v>
      </c>
      <c r="C847" s="7" t="s">
        <v>642</v>
      </c>
      <c r="D847" s="8">
        <v>610</v>
      </c>
      <c r="E847" s="47">
        <f>365517.2+826.4</f>
        <v>366343.60000000003</v>
      </c>
      <c r="F847" s="111"/>
      <c r="G847" s="124"/>
      <c r="H847" s="143"/>
    </row>
    <row r="848" spans="1:8" ht="63" x14ac:dyDescent="0.2">
      <c r="A848" s="11" t="s">
        <v>672</v>
      </c>
      <c r="B848" s="7" t="s">
        <v>768</v>
      </c>
      <c r="C848" s="7" t="s">
        <v>673</v>
      </c>
      <c r="D848" s="8"/>
      <c r="E848" s="47">
        <f>E849</f>
        <v>570</v>
      </c>
    </row>
    <row r="849" spans="1:8" x14ac:dyDescent="0.2">
      <c r="A849" s="2" t="s">
        <v>944</v>
      </c>
      <c r="B849" s="7" t="s">
        <v>768</v>
      </c>
      <c r="C849" s="7" t="s">
        <v>673</v>
      </c>
      <c r="D849" s="8">
        <v>610</v>
      </c>
      <c r="E849" s="47">
        <v>570</v>
      </c>
      <c r="F849" s="111"/>
    </row>
    <row r="850" spans="1:8" s="144" customFormat="1" ht="31.5" x14ac:dyDescent="0.2">
      <c r="A850" s="231" t="s">
        <v>1047</v>
      </c>
      <c r="B850" s="232" t="s">
        <v>1048</v>
      </c>
      <c r="C850" s="232"/>
      <c r="D850" s="233"/>
      <c r="E850" s="179">
        <f>E851+E855</f>
        <v>422</v>
      </c>
      <c r="F850" s="234"/>
      <c r="H850" s="235"/>
    </row>
    <row r="851" spans="1:8" ht="57.75" customHeight="1" x14ac:dyDescent="0.2">
      <c r="A851" s="39" t="s">
        <v>112</v>
      </c>
      <c r="B851" s="197" t="s">
        <v>1048</v>
      </c>
      <c r="C851" s="197" t="s">
        <v>329</v>
      </c>
      <c r="D851" s="196" t="s">
        <v>0</v>
      </c>
      <c r="E851" s="201">
        <f>E852</f>
        <v>390</v>
      </c>
      <c r="F851" s="228"/>
      <c r="H851" s="229"/>
    </row>
    <row r="852" spans="1:8" ht="22.5" customHeight="1" x14ac:dyDescent="0.2">
      <c r="A852" s="39" t="s">
        <v>113</v>
      </c>
      <c r="B852" s="197" t="s">
        <v>1048</v>
      </c>
      <c r="C852" s="197" t="s">
        <v>328</v>
      </c>
      <c r="D852" s="196" t="s">
        <v>0</v>
      </c>
      <c r="E852" s="201">
        <f>E853</f>
        <v>390</v>
      </c>
      <c r="F852" s="230"/>
      <c r="H852" s="229"/>
    </row>
    <row r="853" spans="1:8" ht="33" customHeight="1" x14ac:dyDescent="0.2">
      <c r="A853" s="37" t="s">
        <v>378</v>
      </c>
      <c r="B853" s="197" t="s">
        <v>1048</v>
      </c>
      <c r="C853" s="197" t="s">
        <v>379</v>
      </c>
      <c r="D853" s="196"/>
      <c r="E853" s="201">
        <f>E854</f>
        <v>390</v>
      </c>
      <c r="F853" s="63"/>
      <c r="H853" s="229"/>
    </row>
    <row r="854" spans="1:8" ht="38.25" customHeight="1" x14ac:dyDescent="0.2">
      <c r="A854" s="11" t="s">
        <v>706</v>
      </c>
      <c r="B854" s="197" t="s">
        <v>1048</v>
      </c>
      <c r="C854" s="197" t="s">
        <v>379</v>
      </c>
      <c r="D854" s="196">
        <v>240</v>
      </c>
      <c r="E854" s="201">
        <f>200+25+25+25+15+25+25+50</f>
        <v>390</v>
      </c>
      <c r="F854" s="63"/>
      <c r="H854" s="229"/>
    </row>
    <row r="855" spans="1:8" ht="63" customHeight="1" x14ac:dyDescent="0.2">
      <c r="A855" s="39" t="s">
        <v>118</v>
      </c>
      <c r="B855" s="197" t="s">
        <v>1048</v>
      </c>
      <c r="C855" s="197" t="s">
        <v>431</v>
      </c>
      <c r="D855" s="196" t="s">
        <v>0</v>
      </c>
      <c r="E855" s="201">
        <f>E856</f>
        <v>32</v>
      </c>
      <c r="F855" s="228"/>
      <c r="H855" s="229"/>
    </row>
    <row r="856" spans="1:8" ht="31.5" customHeight="1" x14ac:dyDescent="0.2">
      <c r="A856" s="39" t="s">
        <v>121</v>
      </c>
      <c r="B856" s="197" t="s">
        <v>1048</v>
      </c>
      <c r="C856" s="197" t="s">
        <v>435</v>
      </c>
      <c r="D856" s="196" t="s">
        <v>0</v>
      </c>
      <c r="E856" s="201">
        <f>E857</f>
        <v>32</v>
      </c>
      <c r="F856" s="228"/>
      <c r="H856" s="229"/>
    </row>
    <row r="857" spans="1:8" ht="34.5" customHeight="1" x14ac:dyDescent="0.2">
      <c r="A857" s="39" t="s">
        <v>123</v>
      </c>
      <c r="B857" s="197" t="s">
        <v>1048</v>
      </c>
      <c r="C857" s="197" t="s">
        <v>690</v>
      </c>
      <c r="D857" s="196" t="s">
        <v>0</v>
      </c>
      <c r="E857" s="201">
        <f>E858</f>
        <v>32</v>
      </c>
      <c r="F857" s="228"/>
      <c r="H857" s="229"/>
    </row>
    <row r="858" spans="1:8" ht="31.5" customHeight="1" x14ac:dyDescent="0.2">
      <c r="A858" s="37" t="s">
        <v>378</v>
      </c>
      <c r="B858" s="197" t="s">
        <v>1048</v>
      </c>
      <c r="C858" s="197" t="s">
        <v>691</v>
      </c>
      <c r="D858" s="196"/>
      <c r="E858" s="201">
        <f>E859</f>
        <v>32</v>
      </c>
      <c r="F858" s="228"/>
      <c r="H858" s="229"/>
    </row>
    <row r="859" spans="1:8" ht="31.5" customHeight="1" x14ac:dyDescent="0.2">
      <c r="A859" s="11" t="s">
        <v>706</v>
      </c>
      <c r="B859" s="197" t="s">
        <v>1048</v>
      </c>
      <c r="C859" s="197" t="s">
        <v>691</v>
      </c>
      <c r="D859" s="196">
        <v>240</v>
      </c>
      <c r="E859" s="201">
        <f>32</f>
        <v>32</v>
      </c>
      <c r="F859" s="63"/>
      <c r="H859" s="229"/>
    </row>
    <row r="860" spans="1:8" x14ac:dyDescent="0.2">
      <c r="A860" s="20" t="s">
        <v>766</v>
      </c>
      <c r="B860" s="18" t="s">
        <v>69</v>
      </c>
      <c r="C860" s="15" t="s">
        <v>0</v>
      </c>
      <c r="D860" s="18" t="s">
        <v>0</v>
      </c>
      <c r="E860" s="182">
        <f>E861+E891+E887+E895+E884</f>
        <v>83821.399999999994</v>
      </c>
    </row>
    <row r="861" spans="1:8" ht="31.5" x14ac:dyDescent="0.2">
      <c r="A861" s="11" t="s">
        <v>149</v>
      </c>
      <c r="B861" s="8" t="s">
        <v>69</v>
      </c>
      <c r="C861" s="24" t="s">
        <v>288</v>
      </c>
      <c r="D861" s="8" t="s">
        <v>0</v>
      </c>
      <c r="E861" s="47">
        <f>E862</f>
        <v>49857.8</v>
      </c>
    </row>
    <row r="862" spans="1:8" ht="31.5" x14ac:dyDescent="0.2">
      <c r="A862" s="11" t="s">
        <v>150</v>
      </c>
      <c r="B862" s="8" t="s">
        <v>69</v>
      </c>
      <c r="C862" s="24" t="s">
        <v>475</v>
      </c>
      <c r="D862" s="8" t="s">
        <v>0</v>
      </c>
      <c r="E862" s="47">
        <f>E863+E867+E874+E877</f>
        <v>49857.8</v>
      </c>
    </row>
    <row r="863" spans="1:8" ht="31.5" x14ac:dyDescent="0.2">
      <c r="A863" s="11" t="s">
        <v>217</v>
      </c>
      <c r="B863" s="8" t="s">
        <v>69</v>
      </c>
      <c r="C863" s="24" t="s">
        <v>480</v>
      </c>
      <c r="D863" s="8" t="s">
        <v>0</v>
      </c>
      <c r="E863" s="47">
        <f>E864</f>
        <v>1057.1999999999998</v>
      </c>
    </row>
    <row r="864" spans="1:8" ht="31.5" x14ac:dyDescent="0.2">
      <c r="A864" s="41" t="s">
        <v>302</v>
      </c>
      <c r="B864" s="23" t="s">
        <v>69</v>
      </c>
      <c r="C864" s="24" t="s">
        <v>479</v>
      </c>
      <c r="D864" s="23"/>
      <c r="E864" s="47">
        <f>E865+E866</f>
        <v>1057.1999999999998</v>
      </c>
    </row>
    <row r="865" spans="1:7" x14ac:dyDescent="0.2">
      <c r="A865" s="2" t="s">
        <v>944</v>
      </c>
      <c r="B865" s="23" t="s">
        <v>69</v>
      </c>
      <c r="C865" s="24" t="s">
        <v>479</v>
      </c>
      <c r="D865" s="8">
        <v>610</v>
      </c>
      <c r="E865" s="47">
        <f>487.4+14.5</f>
        <v>501.9</v>
      </c>
      <c r="F865" s="110"/>
    </row>
    <row r="866" spans="1:7" x14ac:dyDescent="0.2">
      <c r="A866" s="2" t="s">
        <v>945</v>
      </c>
      <c r="B866" s="23" t="s">
        <v>69</v>
      </c>
      <c r="C866" s="24" t="s">
        <v>479</v>
      </c>
      <c r="D866" s="8">
        <v>620</v>
      </c>
      <c r="E866" s="47">
        <f>555.3</f>
        <v>555.29999999999995</v>
      </c>
      <c r="F866" s="110"/>
    </row>
    <row r="867" spans="1:7" ht="31.5" x14ac:dyDescent="0.2">
      <c r="A867" s="41" t="s">
        <v>218</v>
      </c>
      <c r="B867" s="23" t="s">
        <v>69</v>
      </c>
      <c r="C867" s="24" t="s">
        <v>481</v>
      </c>
      <c r="D867" s="8" t="s">
        <v>0</v>
      </c>
      <c r="E867" s="47">
        <f>E868+E872</f>
        <v>25685.399999999998</v>
      </c>
    </row>
    <row r="868" spans="1:7" ht="31.5" x14ac:dyDescent="0.2">
      <c r="A868" s="41" t="s">
        <v>302</v>
      </c>
      <c r="B868" s="23" t="s">
        <v>69</v>
      </c>
      <c r="C868" s="24" t="s">
        <v>482</v>
      </c>
      <c r="D868" s="8"/>
      <c r="E868" s="47">
        <f>E870+E871+E869</f>
        <v>25605.399999999998</v>
      </c>
    </row>
    <row r="869" spans="1:7" ht="47.25" x14ac:dyDescent="0.2">
      <c r="A869" s="40" t="s">
        <v>769</v>
      </c>
      <c r="B869" s="23" t="s">
        <v>69</v>
      </c>
      <c r="C869" s="24" t="s">
        <v>482</v>
      </c>
      <c r="D869" s="8">
        <v>462</v>
      </c>
      <c r="E869" s="47">
        <f>25232.3</f>
        <v>25232.3</v>
      </c>
    </row>
    <row r="870" spans="1:7" x14ac:dyDescent="0.2">
      <c r="A870" s="2" t="s">
        <v>944</v>
      </c>
      <c r="B870" s="8" t="s">
        <v>69</v>
      </c>
      <c r="C870" s="7" t="s">
        <v>482</v>
      </c>
      <c r="D870" s="8">
        <v>610</v>
      </c>
      <c r="E870" s="47">
        <f>249+54.1</f>
        <v>303.10000000000002</v>
      </c>
      <c r="F870" s="110"/>
    </row>
    <row r="871" spans="1:7" x14ac:dyDescent="0.2">
      <c r="A871" s="2" t="s">
        <v>945</v>
      </c>
      <c r="B871" s="8" t="s">
        <v>69</v>
      </c>
      <c r="C871" s="7" t="s">
        <v>482</v>
      </c>
      <c r="D871" s="8">
        <v>620</v>
      </c>
      <c r="E871" s="47">
        <f>70</f>
        <v>70</v>
      </c>
      <c r="F871" s="110"/>
    </row>
    <row r="872" spans="1:7" ht="31.5" x14ac:dyDescent="0.2">
      <c r="A872" s="39" t="s">
        <v>307</v>
      </c>
      <c r="B872" s="35" t="s">
        <v>69</v>
      </c>
      <c r="C872" s="36" t="s">
        <v>968</v>
      </c>
      <c r="D872" s="35"/>
      <c r="E872" s="47">
        <f>E873</f>
        <v>80</v>
      </c>
      <c r="F872" s="110"/>
    </row>
    <row r="873" spans="1:7" ht="31.5" x14ac:dyDescent="0.2">
      <c r="A873" s="1" t="s">
        <v>706</v>
      </c>
      <c r="B873" s="35" t="s">
        <v>69</v>
      </c>
      <c r="C873" s="36" t="s">
        <v>968</v>
      </c>
      <c r="D873" s="35">
        <v>240</v>
      </c>
      <c r="E873" s="47">
        <v>80</v>
      </c>
      <c r="F873" s="110"/>
    </row>
    <row r="874" spans="1:7" ht="31.5" x14ac:dyDescent="0.2">
      <c r="A874" s="40" t="s">
        <v>219</v>
      </c>
      <c r="B874" s="189" t="s">
        <v>69</v>
      </c>
      <c r="C874" s="97" t="s">
        <v>483</v>
      </c>
      <c r="D874" s="189" t="s">
        <v>0</v>
      </c>
      <c r="E874" s="47">
        <f>E875</f>
        <v>25</v>
      </c>
    </row>
    <row r="875" spans="1:7" ht="31.5" x14ac:dyDescent="0.2">
      <c r="A875" s="41" t="s">
        <v>302</v>
      </c>
      <c r="B875" s="189" t="s">
        <v>69</v>
      </c>
      <c r="C875" s="97" t="s">
        <v>727</v>
      </c>
      <c r="D875" s="189"/>
      <c r="E875" s="47">
        <f>E876</f>
        <v>25</v>
      </c>
    </row>
    <row r="876" spans="1:7" x14ac:dyDescent="0.2">
      <c r="A876" s="2" t="s">
        <v>945</v>
      </c>
      <c r="B876" s="189" t="s">
        <v>69</v>
      </c>
      <c r="C876" s="97" t="s">
        <v>727</v>
      </c>
      <c r="D876" s="8">
        <v>620</v>
      </c>
      <c r="E876" s="47">
        <f>25</f>
        <v>25</v>
      </c>
    </row>
    <row r="877" spans="1:7" ht="31.5" x14ac:dyDescent="0.2">
      <c r="A877" s="40" t="s">
        <v>151</v>
      </c>
      <c r="B877" s="189" t="s">
        <v>69</v>
      </c>
      <c r="C877" s="97" t="s">
        <v>476</v>
      </c>
      <c r="D877" s="189" t="s">
        <v>0</v>
      </c>
      <c r="E877" s="47">
        <f>E881+E878</f>
        <v>23090.2</v>
      </c>
    </row>
    <row r="878" spans="1:7" ht="31.5" x14ac:dyDescent="0.2">
      <c r="A878" s="41" t="s">
        <v>302</v>
      </c>
      <c r="B878" s="23" t="s">
        <v>69</v>
      </c>
      <c r="C878" s="24" t="s">
        <v>477</v>
      </c>
      <c r="D878" s="23"/>
      <c r="E878" s="47">
        <f>E879+E880</f>
        <v>19946.900000000001</v>
      </c>
    </row>
    <row r="879" spans="1:7" x14ac:dyDescent="0.2">
      <c r="A879" s="2" t="s">
        <v>944</v>
      </c>
      <c r="B879" s="23" t="s">
        <v>69</v>
      </c>
      <c r="C879" s="24" t="s">
        <v>477</v>
      </c>
      <c r="D879" s="8">
        <v>610</v>
      </c>
      <c r="E879" s="47">
        <f>7856+31.4</f>
        <v>7887.4</v>
      </c>
      <c r="F879" s="110"/>
      <c r="G879" s="63"/>
    </row>
    <row r="880" spans="1:7" ht="23.25" customHeight="1" x14ac:dyDescent="0.2">
      <c r="A880" s="2" t="s">
        <v>945</v>
      </c>
      <c r="B880" s="23" t="s">
        <v>69</v>
      </c>
      <c r="C880" s="24" t="s">
        <v>477</v>
      </c>
      <c r="D880" s="8">
        <v>620</v>
      </c>
      <c r="E880" s="47">
        <f>12059.5</f>
        <v>12059.5</v>
      </c>
      <c r="F880" s="63"/>
      <c r="G880" s="146"/>
    </row>
    <row r="881" spans="1:7" ht="31.5" x14ac:dyDescent="0.2">
      <c r="A881" s="39" t="s">
        <v>307</v>
      </c>
      <c r="B881" s="189" t="s">
        <v>69</v>
      </c>
      <c r="C881" s="97" t="s">
        <v>484</v>
      </c>
      <c r="D881" s="189"/>
      <c r="E881" s="47">
        <f>E882+E883</f>
        <v>3143.3</v>
      </c>
      <c r="G881" s="136"/>
    </row>
    <row r="882" spans="1:7" ht="31.5" x14ac:dyDescent="0.2">
      <c r="A882" s="1" t="s">
        <v>706</v>
      </c>
      <c r="B882" s="189" t="s">
        <v>69</v>
      </c>
      <c r="C882" s="97" t="s">
        <v>484</v>
      </c>
      <c r="D882" s="189">
        <v>240</v>
      </c>
      <c r="E882" s="47">
        <f>1698.3+120</f>
        <v>1818.3</v>
      </c>
      <c r="F882" s="110"/>
      <c r="G882" s="63"/>
    </row>
    <row r="883" spans="1:7" ht="31.5" x14ac:dyDescent="0.2">
      <c r="A883" s="37" t="s">
        <v>101</v>
      </c>
      <c r="B883" s="189" t="s">
        <v>69</v>
      </c>
      <c r="C883" s="97" t="s">
        <v>484</v>
      </c>
      <c r="D883" s="189">
        <v>630</v>
      </c>
      <c r="E883" s="47">
        <f>1325</f>
        <v>1325</v>
      </c>
      <c r="F883" s="63"/>
    </row>
    <row r="884" spans="1:7" ht="99" customHeight="1" x14ac:dyDescent="0.2">
      <c r="A884" s="40" t="s">
        <v>733</v>
      </c>
      <c r="B884" s="23" t="s">
        <v>69</v>
      </c>
      <c r="C884" s="97" t="s">
        <v>736</v>
      </c>
      <c r="D884" s="189"/>
      <c r="E884" s="47">
        <f>E885+E886</f>
        <v>4.9000000000000004</v>
      </c>
    </row>
    <row r="885" spans="1:7" ht="23.25" customHeight="1" x14ac:dyDescent="0.2">
      <c r="A885" s="2" t="s">
        <v>944</v>
      </c>
      <c r="B885" s="23" t="s">
        <v>69</v>
      </c>
      <c r="C885" s="97" t="s">
        <v>736</v>
      </c>
      <c r="D885" s="8">
        <v>610</v>
      </c>
      <c r="E885" s="170">
        <v>2.2000000000000002</v>
      </c>
      <c r="F885" s="113"/>
      <c r="G885" s="88"/>
    </row>
    <row r="886" spans="1:7" ht="23.25" customHeight="1" x14ac:dyDescent="0.2">
      <c r="A886" s="2" t="s">
        <v>945</v>
      </c>
      <c r="B886" s="23" t="s">
        <v>69</v>
      </c>
      <c r="C886" s="97" t="s">
        <v>736</v>
      </c>
      <c r="D886" s="8">
        <v>620</v>
      </c>
      <c r="E886" s="170">
        <v>2.7</v>
      </c>
      <c r="F886" s="110"/>
      <c r="G886" s="88"/>
    </row>
    <row r="887" spans="1:7" ht="50.25" customHeight="1" x14ac:dyDescent="0.2">
      <c r="A887" s="40" t="s">
        <v>115</v>
      </c>
      <c r="B887" s="24" t="s">
        <v>69</v>
      </c>
      <c r="C887" s="24" t="s">
        <v>394</v>
      </c>
      <c r="D887" s="23"/>
      <c r="E887" s="47">
        <f>E888</f>
        <v>200</v>
      </c>
    </row>
    <row r="888" spans="1:7" ht="23.25" customHeight="1" x14ac:dyDescent="0.2">
      <c r="A888" s="40" t="s">
        <v>229</v>
      </c>
      <c r="B888" s="24" t="s">
        <v>69</v>
      </c>
      <c r="C888" s="24" t="s">
        <v>666</v>
      </c>
      <c r="D888" s="23"/>
      <c r="E888" s="47">
        <f>E889</f>
        <v>200</v>
      </c>
    </row>
    <row r="889" spans="1:7" ht="21" customHeight="1" x14ac:dyDescent="0.2">
      <c r="A889" s="12" t="s">
        <v>886</v>
      </c>
      <c r="B889" s="24" t="s">
        <v>69</v>
      </c>
      <c r="C889" s="24" t="s">
        <v>792</v>
      </c>
      <c r="D889" s="23"/>
      <c r="E889" s="47">
        <f>E890</f>
        <v>200</v>
      </c>
    </row>
    <row r="890" spans="1:7" ht="21.75" customHeight="1" x14ac:dyDescent="0.2">
      <c r="A890" s="41" t="s">
        <v>22</v>
      </c>
      <c r="B890" s="24" t="s">
        <v>69</v>
      </c>
      <c r="C890" s="24" t="s">
        <v>792</v>
      </c>
      <c r="D890" s="23">
        <v>350</v>
      </c>
      <c r="E890" s="47">
        <v>200</v>
      </c>
    </row>
    <row r="891" spans="1:7" ht="71.25" customHeight="1" x14ac:dyDescent="0.2">
      <c r="A891" s="11" t="s">
        <v>118</v>
      </c>
      <c r="B891" s="8" t="s">
        <v>69</v>
      </c>
      <c r="C891" s="7" t="s">
        <v>431</v>
      </c>
      <c r="D891" s="8" t="s">
        <v>0</v>
      </c>
      <c r="E891" s="47">
        <f>E892</f>
        <v>2000</v>
      </c>
    </row>
    <row r="892" spans="1:7" ht="47.25" x14ac:dyDescent="0.2">
      <c r="A892" s="11" t="s">
        <v>119</v>
      </c>
      <c r="B892" s="8" t="s">
        <v>69</v>
      </c>
      <c r="C892" s="7" t="s">
        <v>432</v>
      </c>
      <c r="D892" s="8" t="s">
        <v>0</v>
      </c>
      <c r="E892" s="47">
        <f>E893</f>
        <v>2000</v>
      </c>
    </row>
    <row r="893" spans="1:7" x14ac:dyDescent="0.2">
      <c r="A893" s="12" t="s">
        <v>886</v>
      </c>
      <c r="B893" s="8" t="s">
        <v>69</v>
      </c>
      <c r="C893" s="7" t="s">
        <v>671</v>
      </c>
      <c r="D893" s="8"/>
      <c r="E893" s="47">
        <f>E894</f>
        <v>2000</v>
      </c>
    </row>
    <row r="894" spans="1:7" x14ac:dyDescent="0.2">
      <c r="A894" s="41" t="s">
        <v>22</v>
      </c>
      <c r="B894" s="8" t="s">
        <v>69</v>
      </c>
      <c r="C894" s="7" t="s">
        <v>671</v>
      </c>
      <c r="D894" s="8">
        <v>350</v>
      </c>
      <c r="E894" s="47">
        <v>2000</v>
      </c>
      <c r="F894" s="63"/>
    </row>
    <row r="895" spans="1:7" ht="47.25" x14ac:dyDescent="0.2">
      <c r="A895" s="11" t="s">
        <v>152</v>
      </c>
      <c r="B895" s="8" t="s">
        <v>69</v>
      </c>
      <c r="C895" s="7" t="s">
        <v>519</v>
      </c>
      <c r="D895" s="8" t="s">
        <v>0</v>
      </c>
      <c r="E895" s="47">
        <f>E896+E899+E902</f>
        <v>31758.7</v>
      </c>
    </row>
    <row r="896" spans="1:7" x14ac:dyDescent="0.2">
      <c r="A896" s="11" t="s">
        <v>153</v>
      </c>
      <c r="B896" s="8" t="s">
        <v>69</v>
      </c>
      <c r="C896" s="7" t="s">
        <v>520</v>
      </c>
      <c r="D896" s="8" t="s">
        <v>0</v>
      </c>
      <c r="E896" s="47">
        <f>E897</f>
        <v>200</v>
      </c>
    </row>
    <row r="897" spans="1:8" ht="31.5" x14ac:dyDescent="0.2">
      <c r="A897" s="11" t="s">
        <v>302</v>
      </c>
      <c r="B897" s="8" t="s">
        <v>69</v>
      </c>
      <c r="C897" s="7" t="s">
        <v>521</v>
      </c>
      <c r="D897" s="8"/>
      <c r="E897" s="47">
        <f>E898</f>
        <v>200</v>
      </c>
    </row>
    <row r="898" spans="1:8" x14ac:dyDescent="0.2">
      <c r="A898" s="2" t="s">
        <v>944</v>
      </c>
      <c r="B898" s="8" t="s">
        <v>69</v>
      </c>
      <c r="C898" s="7" t="s">
        <v>521</v>
      </c>
      <c r="D898" s="8">
        <v>610</v>
      </c>
      <c r="E898" s="47">
        <v>200</v>
      </c>
      <c r="F898" s="56"/>
    </row>
    <row r="899" spans="1:8" ht="31.5" x14ac:dyDescent="0.2">
      <c r="A899" s="11" t="s">
        <v>221</v>
      </c>
      <c r="B899" s="8" t="s">
        <v>69</v>
      </c>
      <c r="C899" s="7" t="s">
        <v>667</v>
      </c>
      <c r="D899" s="8" t="s">
        <v>0</v>
      </c>
      <c r="E899" s="47">
        <f>E900</f>
        <v>100</v>
      </c>
    </row>
    <row r="900" spans="1:8" ht="31.5" x14ac:dyDescent="0.2">
      <c r="A900" s="11" t="s">
        <v>302</v>
      </c>
      <c r="B900" s="8" t="s">
        <v>69</v>
      </c>
      <c r="C900" s="7" t="s">
        <v>668</v>
      </c>
      <c r="D900" s="8"/>
      <c r="E900" s="47">
        <f>E901</f>
        <v>100</v>
      </c>
    </row>
    <row r="901" spans="1:8" x14ac:dyDescent="0.2">
      <c r="A901" s="2" t="s">
        <v>944</v>
      </c>
      <c r="B901" s="8" t="s">
        <v>69</v>
      </c>
      <c r="C901" s="7" t="s">
        <v>668</v>
      </c>
      <c r="D901" s="8">
        <v>610</v>
      </c>
      <c r="E901" s="47">
        <v>100</v>
      </c>
      <c r="F901" s="56"/>
    </row>
    <row r="902" spans="1:8" ht="47.25" x14ac:dyDescent="0.2">
      <c r="A902" s="11" t="s">
        <v>678</v>
      </c>
      <c r="B902" s="8" t="s">
        <v>69</v>
      </c>
      <c r="C902" s="7" t="s">
        <v>669</v>
      </c>
      <c r="D902" s="8" t="s">
        <v>0</v>
      </c>
      <c r="E902" s="47">
        <f>SUM(E903)</f>
        <v>31458.7</v>
      </c>
    </row>
    <row r="903" spans="1:8" ht="31.5" x14ac:dyDescent="0.2">
      <c r="A903" s="11" t="s">
        <v>302</v>
      </c>
      <c r="B903" s="8" t="s">
        <v>69</v>
      </c>
      <c r="C903" s="7" t="s">
        <v>670</v>
      </c>
      <c r="D903" s="8"/>
      <c r="E903" s="47">
        <f>E904</f>
        <v>31458.7</v>
      </c>
    </row>
    <row r="904" spans="1:8" x14ac:dyDescent="0.2">
      <c r="A904" s="2" t="s">
        <v>944</v>
      </c>
      <c r="B904" s="8" t="s">
        <v>69</v>
      </c>
      <c r="C904" s="7" t="s">
        <v>670</v>
      </c>
      <c r="D904" s="8">
        <v>610</v>
      </c>
      <c r="E904" s="47">
        <f>31290+168.7</f>
        <v>31458.7</v>
      </c>
      <c r="F904" s="132"/>
      <c r="H904" s="78"/>
    </row>
    <row r="905" spans="1:8" x14ac:dyDescent="0.2">
      <c r="A905" s="20" t="s">
        <v>70</v>
      </c>
      <c r="B905" s="18" t="s">
        <v>71</v>
      </c>
      <c r="C905" s="15" t="s">
        <v>0</v>
      </c>
      <c r="D905" s="18" t="s">
        <v>0</v>
      </c>
      <c r="E905" s="182">
        <f>E906+E961+E967+E973+E978+E994+E999+E1003</f>
        <v>250433.49999999997</v>
      </c>
    </row>
    <row r="906" spans="1:8" ht="31.5" x14ac:dyDescent="0.2">
      <c r="A906" s="11" t="s">
        <v>149</v>
      </c>
      <c r="B906" s="8" t="s">
        <v>71</v>
      </c>
      <c r="C906" s="24" t="s">
        <v>288</v>
      </c>
      <c r="D906" s="8" t="s">
        <v>0</v>
      </c>
      <c r="E906" s="47">
        <f>E907+E935+E928+E950+E946</f>
        <v>149833.49999999997</v>
      </c>
    </row>
    <row r="907" spans="1:8" ht="31.5" customHeight="1" x14ac:dyDescent="0.2">
      <c r="A907" s="11" t="s">
        <v>209</v>
      </c>
      <c r="B907" s="8" t="s">
        <v>71</v>
      </c>
      <c r="C907" s="24" t="s">
        <v>387</v>
      </c>
      <c r="D907" s="8" t="s">
        <v>0</v>
      </c>
      <c r="E907" s="47">
        <f>E916+E923+E908+E913</f>
        <v>6650.6</v>
      </c>
    </row>
    <row r="908" spans="1:8" ht="21.2" customHeight="1" x14ac:dyDescent="0.2">
      <c r="A908" s="39" t="s">
        <v>210</v>
      </c>
      <c r="B908" s="35" t="s">
        <v>71</v>
      </c>
      <c r="C908" s="97" t="s">
        <v>386</v>
      </c>
      <c r="D908" s="35"/>
      <c r="E908" s="47">
        <f>E909+E911</f>
        <v>4930.6000000000004</v>
      </c>
    </row>
    <row r="909" spans="1:8" ht="21.2" customHeight="1" x14ac:dyDescent="0.2">
      <c r="A909" s="39" t="s">
        <v>307</v>
      </c>
      <c r="B909" s="35" t="s">
        <v>71</v>
      </c>
      <c r="C909" s="97" t="s">
        <v>770</v>
      </c>
      <c r="D909" s="35"/>
      <c r="E909" s="47">
        <f>E910</f>
        <v>300</v>
      </c>
    </row>
    <row r="910" spans="1:8" ht="34.5" customHeight="1" x14ac:dyDescent="0.2">
      <c r="A910" s="1" t="s">
        <v>706</v>
      </c>
      <c r="B910" s="35" t="s">
        <v>71</v>
      </c>
      <c r="C910" s="97" t="s">
        <v>770</v>
      </c>
      <c r="D910" s="35">
        <v>240</v>
      </c>
      <c r="E910" s="47">
        <f>300</f>
        <v>300</v>
      </c>
      <c r="F910" s="110"/>
    </row>
    <row r="911" spans="1:8" ht="65.25" customHeight="1" x14ac:dyDescent="0.2">
      <c r="A911" s="39" t="s">
        <v>989</v>
      </c>
      <c r="B911" s="35" t="s">
        <v>71</v>
      </c>
      <c r="C911" s="99" t="s">
        <v>990</v>
      </c>
      <c r="D911" s="203"/>
      <c r="E911" s="204">
        <f>E912</f>
        <v>4630.6000000000004</v>
      </c>
      <c r="F911" s="110"/>
    </row>
    <row r="912" spans="1:8" ht="34.5" customHeight="1" x14ac:dyDescent="0.2">
      <c r="A912" s="39" t="s">
        <v>944</v>
      </c>
      <c r="B912" s="35" t="s">
        <v>71</v>
      </c>
      <c r="C912" s="99" t="s">
        <v>990</v>
      </c>
      <c r="D912" s="203">
        <v>610</v>
      </c>
      <c r="E912" s="204">
        <v>4630.6000000000004</v>
      </c>
      <c r="F912" s="110"/>
    </row>
    <row r="913" spans="1:6" ht="21.2" customHeight="1" x14ac:dyDescent="0.2">
      <c r="A913" s="39" t="s">
        <v>222</v>
      </c>
      <c r="B913" s="35" t="s">
        <v>71</v>
      </c>
      <c r="C913" s="97" t="s">
        <v>388</v>
      </c>
      <c r="D913" s="35"/>
      <c r="E913" s="47">
        <f>E914</f>
        <v>200</v>
      </c>
    </row>
    <row r="914" spans="1:6" ht="33" customHeight="1" x14ac:dyDescent="0.2">
      <c r="A914" s="39" t="s">
        <v>307</v>
      </c>
      <c r="B914" s="35" t="s">
        <v>71</v>
      </c>
      <c r="C914" s="97" t="s">
        <v>771</v>
      </c>
      <c r="D914" s="35"/>
      <c r="E914" s="47">
        <f>E915</f>
        <v>200</v>
      </c>
    </row>
    <row r="915" spans="1:6" ht="34.5" customHeight="1" x14ac:dyDescent="0.2">
      <c r="A915" s="1" t="s">
        <v>706</v>
      </c>
      <c r="B915" s="35" t="s">
        <v>71</v>
      </c>
      <c r="C915" s="97" t="s">
        <v>771</v>
      </c>
      <c r="D915" s="35">
        <v>240</v>
      </c>
      <c r="E915" s="47">
        <f>200</f>
        <v>200</v>
      </c>
    </row>
    <row r="916" spans="1:6" ht="17.25" customHeight="1" x14ac:dyDescent="0.2">
      <c r="A916" s="41" t="s">
        <v>223</v>
      </c>
      <c r="B916" s="23" t="s">
        <v>71</v>
      </c>
      <c r="C916" s="24" t="s">
        <v>651</v>
      </c>
      <c r="D916" s="23" t="s">
        <v>0</v>
      </c>
      <c r="E916" s="47">
        <f>E919+E917+E921</f>
        <v>1250</v>
      </c>
    </row>
    <row r="917" spans="1:6" ht="17.25" customHeight="1" x14ac:dyDescent="0.2">
      <c r="A917" s="39" t="s">
        <v>307</v>
      </c>
      <c r="B917" s="35" t="s">
        <v>71</v>
      </c>
      <c r="C917" s="36" t="s">
        <v>907</v>
      </c>
      <c r="D917" s="35"/>
      <c r="E917" s="47">
        <f>E918</f>
        <v>60</v>
      </c>
      <c r="F917" s="75"/>
    </row>
    <row r="918" spans="1:6" ht="30.75" customHeight="1" x14ac:dyDescent="0.2">
      <c r="A918" s="1" t="s">
        <v>706</v>
      </c>
      <c r="B918" s="35" t="s">
        <v>71</v>
      </c>
      <c r="C918" s="36" t="s">
        <v>907</v>
      </c>
      <c r="D918" s="35">
        <v>240</v>
      </c>
      <c r="E918" s="47">
        <f>60</f>
        <v>60</v>
      </c>
      <c r="F918" s="111"/>
    </row>
    <row r="919" spans="1:6" ht="63" x14ac:dyDescent="0.2">
      <c r="A919" s="11" t="s">
        <v>672</v>
      </c>
      <c r="B919" s="23" t="s">
        <v>71</v>
      </c>
      <c r="C919" s="24" t="s">
        <v>652</v>
      </c>
      <c r="D919" s="23"/>
      <c r="E919" s="47">
        <f>E920</f>
        <v>250</v>
      </c>
    </row>
    <row r="920" spans="1:6" x14ac:dyDescent="0.2">
      <c r="A920" s="37" t="s">
        <v>22</v>
      </c>
      <c r="B920" s="189" t="s">
        <v>71</v>
      </c>
      <c r="C920" s="97" t="s">
        <v>652</v>
      </c>
      <c r="D920" s="189">
        <v>350</v>
      </c>
      <c r="E920" s="47">
        <f>250</f>
        <v>250</v>
      </c>
    </row>
    <row r="921" spans="1:6" ht="31.5" x14ac:dyDescent="0.2">
      <c r="A921" s="40" t="s">
        <v>653</v>
      </c>
      <c r="B921" s="189" t="s">
        <v>71</v>
      </c>
      <c r="C921" s="97" t="s">
        <v>654</v>
      </c>
      <c r="D921" s="189"/>
      <c r="E921" s="47">
        <f>E922</f>
        <v>940</v>
      </c>
    </row>
    <row r="922" spans="1:6" x14ac:dyDescent="0.2">
      <c r="A922" s="37" t="s">
        <v>22</v>
      </c>
      <c r="B922" s="189" t="s">
        <v>71</v>
      </c>
      <c r="C922" s="97" t="s">
        <v>654</v>
      </c>
      <c r="D922" s="189">
        <v>350</v>
      </c>
      <c r="E922" s="47">
        <f>940</f>
        <v>940</v>
      </c>
      <c r="F922" s="110"/>
    </row>
    <row r="923" spans="1:6" ht="39" customHeight="1" x14ac:dyDescent="0.2">
      <c r="A923" s="40" t="s">
        <v>224</v>
      </c>
      <c r="B923" s="189" t="s">
        <v>71</v>
      </c>
      <c r="C923" s="97" t="s">
        <v>655</v>
      </c>
      <c r="D923" s="189" t="s">
        <v>0</v>
      </c>
      <c r="E923" s="47">
        <f>E924+E926</f>
        <v>270</v>
      </c>
    </row>
    <row r="924" spans="1:6" ht="70.5" customHeight="1" x14ac:dyDescent="0.2">
      <c r="A924" s="11" t="s">
        <v>672</v>
      </c>
      <c r="B924" s="189" t="s">
        <v>71</v>
      </c>
      <c r="C924" s="97" t="s">
        <v>656</v>
      </c>
      <c r="D924" s="189"/>
      <c r="E924" s="47">
        <f>E925</f>
        <v>30</v>
      </c>
    </row>
    <row r="925" spans="1:6" ht="19.5" customHeight="1" x14ac:dyDescent="0.2">
      <c r="A925" s="37" t="s">
        <v>22</v>
      </c>
      <c r="B925" s="189" t="s">
        <v>71</v>
      </c>
      <c r="C925" s="97" t="s">
        <v>656</v>
      </c>
      <c r="D925" s="189">
        <v>350</v>
      </c>
      <c r="E925" s="47">
        <f>30</f>
        <v>30</v>
      </c>
      <c r="F925" s="140"/>
    </row>
    <row r="926" spans="1:6" ht="33" customHeight="1" x14ac:dyDescent="0.2">
      <c r="A926" s="39" t="s">
        <v>653</v>
      </c>
      <c r="B926" s="189" t="s">
        <v>71</v>
      </c>
      <c r="C926" s="97" t="s">
        <v>772</v>
      </c>
      <c r="D926" s="189"/>
      <c r="E926" s="47">
        <f>E927</f>
        <v>240</v>
      </c>
    </row>
    <row r="927" spans="1:6" ht="19.5" customHeight="1" x14ac:dyDescent="0.2">
      <c r="A927" s="37" t="s">
        <v>22</v>
      </c>
      <c r="B927" s="189" t="s">
        <v>71</v>
      </c>
      <c r="C927" s="97" t="s">
        <v>772</v>
      </c>
      <c r="D927" s="189">
        <v>350</v>
      </c>
      <c r="E927" s="47">
        <f>240</f>
        <v>240</v>
      </c>
      <c r="F927" s="137"/>
    </row>
    <row r="928" spans="1:6" ht="19.5" customHeight="1" x14ac:dyDescent="0.2">
      <c r="A928" s="39" t="s">
        <v>211</v>
      </c>
      <c r="B928" s="35" t="s">
        <v>71</v>
      </c>
      <c r="C928" s="36" t="s">
        <v>418</v>
      </c>
      <c r="D928" s="189"/>
      <c r="E928" s="47">
        <f>E929+E932</f>
        <v>1131.9000000000001</v>
      </c>
    </row>
    <row r="929" spans="1:6" ht="51.75" customHeight="1" x14ac:dyDescent="0.2">
      <c r="A929" s="39" t="s">
        <v>856</v>
      </c>
      <c r="B929" s="35" t="s">
        <v>71</v>
      </c>
      <c r="C929" s="36" t="s">
        <v>857</v>
      </c>
      <c r="D929" s="189"/>
      <c r="E929" s="47">
        <f>E930</f>
        <v>1080</v>
      </c>
    </row>
    <row r="930" spans="1:6" ht="19.5" customHeight="1" x14ac:dyDescent="0.2">
      <c r="A930" s="39" t="s">
        <v>302</v>
      </c>
      <c r="B930" s="35" t="s">
        <v>71</v>
      </c>
      <c r="C930" s="36" t="s">
        <v>860</v>
      </c>
      <c r="D930" s="189"/>
      <c r="E930" s="47">
        <f>E931</f>
        <v>1080</v>
      </c>
      <c r="F930" s="110"/>
    </row>
    <row r="931" spans="1:6" ht="19.5" customHeight="1" x14ac:dyDescent="0.2">
      <c r="A931" s="2" t="s">
        <v>945</v>
      </c>
      <c r="B931" s="35" t="s">
        <v>71</v>
      </c>
      <c r="C931" s="36" t="s">
        <v>860</v>
      </c>
      <c r="D931" s="8">
        <v>620</v>
      </c>
      <c r="E931" s="47">
        <f>1080</f>
        <v>1080</v>
      </c>
      <c r="F931" s="110"/>
    </row>
    <row r="932" spans="1:6" ht="19.5" customHeight="1" x14ac:dyDescent="0.2">
      <c r="A932" s="39" t="s">
        <v>774</v>
      </c>
      <c r="B932" s="35" t="s">
        <v>71</v>
      </c>
      <c r="C932" s="36" t="s">
        <v>776</v>
      </c>
      <c r="D932" s="189"/>
      <c r="E932" s="47">
        <f>E933</f>
        <v>51.9</v>
      </c>
      <c r="F932" s="110"/>
    </row>
    <row r="933" spans="1:6" ht="31.5" customHeight="1" x14ac:dyDescent="0.2">
      <c r="A933" s="39" t="s">
        <v>307</v>
      </c>
      <c r="B933" s="35" t="s">
        <v>71</v>
      </c>
      <c r="C933" s="36" t="s">
        <v>859</v>
      </c>
      <c r="D933" s="189"/>
      <c r="E933" s="47">
        <f>E934</f>
        <v>51.9</v>
      </c>
      <c r="F933" s="110"/>
    </row>
    <row r="934" spans="1:6" ht="33" customHeight="1" x14ac:dyDescent="0.2">
      <c r="A934" s="1" t="s">
        <v>706</v>
      </c>
      <c r="B934" s="35" t="s">
        <v>71</v>
      </c>
      <c r="C934" s="36" t="s">
        <v>859</v>
      </c>
      <c r="D934" s="189">
        <v>240</v>
      </c>
      <c r="E934" s="47">
        <f>51.9</f>
        <v>51.9</v>
      </c>
      <c r="F934" s="110"/>
    </row>
    <row r="935" spans="1:6" x14ac:dyDescent="0.2">
      <c r="A935" s="40" t="s">
        <v>205</v>
      </c>
      <c r="B935" s="189" t="s">
        <v>71</v>
      </c>
      <c r="C935" s="97" t="s">
        <v>373</v>
      </c>
      <c r="D935" s="189" t="s">
        <v>0</v>
      </c>
      <c r="E935" s="47">
        <f>E936+E943</f>
        <v>2782.8</v>
      </c>
    </row>
    <row r="936" spans="1:6" ht="35.25" customHeight="1" x14ac:dyDescent="0.2">
      <c r="A936" s="40" t="s">
        <v>227</v>
      </c>
      <c r="B936" s="189" t="s">
        <v>71</v>
      </c>
      <c r="C936" s="97" t="s">
        <v>629</v>
      </c>
      <c r="D936" s="189" t="s">
        <v>0</v>
      </c>
      <c r="E936" s="47">
        <f>E939+E941+E937</f>
        <v>1040</v>
      </c>
    </row>
    <row r="937" spans="1:6" ht="33.75" customHeight="1" x14ac:dyDescent="0.2">
      <c r="A937" s="40" t="s">
        <v>302</v>
      </c>
      <c r="B937" s="189" t="s">
        <v>71</v>
      </c>
      <c r="C937" s="97" t="s">
        <v>920</v>
      </c>
      <c r="D937" s="189"/>
      <c r="E937" s="47">
        <f>E938</f>
        <v>540</v>
      </c>
    </row>
    <row r="938" spans="1:6" ht="29.25" customHeight="1" x14ac:dyDescent="0.2">
      <c r="A938" s="2" t="s">
        <v>945</v>
      </c>
      <c r="B938" s="189" t="s">
        <v>71</v>
      </c>
      <c r="C938" s="97" t="s">
        <v>920</v>
      </c>
      <c r="D938" s="8">
        <v>620</v>
      </c>
      <c r="E938" s="47">
        <f>540</f>
        <v>540</v>
      </c>
      <c r="F938" s="137"/>
    </row>
    <row r="939" spans="1:6" ht="63" x14ac:dyDescent="0.2">
      <c r="A939" s="11" t="s">
        <v>672</v>
      </c>
      <c r="B939" s="189" t="s">
        <v>71</v>
      </c>
      <c r="C939" s="97" t="s">
        <v>657</v>
      </c>
      <c r="D939" s="189"/>
      <c r="E939" s="47">
        <f>E940</f>
        <v>300</v>
      </c>
    </row>
    <row r="940" spans="1:6" x14ac:dyDescent="0.2">
      <c r="A940" s="37" t="s">
        <v>22</v>
      </c>
      <c r="B940" s="189" t="s">
        <v>71</v>
      </c>
      <c r="C940" s="97" t="s">
        <v>657</v>
      </c>
      <c r="D940" s="189">
        <v>350</v>
      </c>
      <c r="E940" s="47">
        <f>300</f>
        <v>300</v>
      </c>
      <c r="F940" s="137"/>
    </row>
    <row r="941" spans="1:6" ht="31.5" x14ac:dyDescent="0.2">
      <c r="A941" s="39" t="s">
        <v>653</v>
      </c>
      <c r="B941" s="189" t="s">
        <v>71</v>
      </c>
      <c r="C941" s="97" t="s">
        <v>773</v>
      </c>
      <c r="D941" s="189"/>
      <c r="E941" s="47">
        <f>E942</f>
        <v>200</v>
      </c>
    </row>
    <row r="942" spans="1:6" x14ac:dyDescent="0.2">
      <c r="A942" s="37" t="s">
        <v>22</v>
      </c>
      <c r="B942" s="189" t="s">
        <v>71</v>
      </c>
      <c r="C942" s="97" t="s">
        <v>773</v>
      </c>
      <c r="D942" s="189">
        <v>350</v>
      </c>
      <c r="E942" s="47">
        <f>200</f>
        <v>200</v>
      </c>
      <c r="F942" s="137"/>
    </row>
    <row r="943" spans="1:6" ht="37.5" customHeight="1" x14ac:dyDescent="0.2">
      <c r="A943" s="41" t="s">
        <v>228</v>
      </c>
      <c r="B943" s="23" t="s">
        <v>71</v>
      </c>
      <c r="C943" s="24" t="s">
        <v>658</v>
      </c>
      <c r="D943" s="23" t="s">
        <v>0</v>
      </c>
      <c r="E943" s="47">
        <f>E944</f>
        <v>1742.8</v>
      </c>
    </row>
    <row r="944" spans="1:6" ht="31.5" x14ac:dyDescent="0.2">
      <c r="A944" s="39" t="s">
        <v>307</v>
      </c>
      <c r="B944" s="23" t="s">
        <v>71</v>
      </c>
      <c r="C944" s="24" t="s">
        <v>659</v>
      </c>
      <c r="D944" s="23"/>
      <c r="E944" s="47">
        <f>E945</f>
        <v>1742.8</v>
      </c>
    </row>
    <row r="945" spans="1:7" ht="30" customHeight="1" x14ac:dyDescent="0.2">
      <c r="A945" s="5" t="s">
        <v>100</v>
      </c>
      <c r="B945" s="23" t="s">
        <v>71</v>
      </c>
      <c r="C945" s="24" t="s">
        <v>659</v>
      </c>
      <c r="D945" s="23">
        <v>360</v>
      </c>
      <c r="E945" s="47">
        <f>1742.8</f>
        <v>1742.8</v>
      </c>
      <c r="F945" s="137"/>
    </row>
    <row r="946" spans="1:7" ht="30" customHeight="1" x14ac:dyDescent="0.2">
      <c r="A946" s="34" t="s">
        <v>207</v>
      </c>
      <c r="B946" s="35" t="s">
        <v>71</v>
      </c>
      <c r="C946" s="172" t="s">
        <v>421</v>
      </c>
      <c r="D946" s="173"/>
      <c r="E946" s="47">
        <f>E947</f>
        <v>100</v>
      </c>
      <c r="F946" s="137"/>
    </row>
    <row r="947" spans="1:7" ht="30" customHeight="1" x14ac:dyDescent="0.2">
      <c r="A947" s="84" t="s">
        <v>1088</v>
      </c>
      <c r="B947" s="190" t="s">
        <v>71</v>
      </c>
      <c r="C947" s="172" t="s">
        <v>936</v>
      </c>
      <c r="D947" s="173"/>
      <c r="E947" s="47">
        <f>E948</f>
        <v>100</v>
      </c>
      <c r="F947" s="137"/>
    </row>
    <row r="948" spans="1:7" ht="30" customHeight="1" x14ac:dyDescent="0.2">
      <c r="A948" s="39" t="s">
        <v>307</v>
      </c>
      <c r="B948" s="190" t="s">
        <v>71</v>
      </c>
      <c r="C948" s="172" t="s">
        <v>937</v>
      </c>
      <c r="D948" s="173"/>
      <c r="E948" s="47">
        <f>E949</f>
        <v>100</v>
      </c>
      <c r="F948" s="137"/>
    </row>
    <row r="949" spans="1:7" ht="30" customHeight="1" x14ac:dyDescent="0.2">
      <c r="A949" s="1" t="s">
        <v>706</v>
      </c>
      <c r="B949" s="190" t="s">
        <v>71</v>
      </c>
      <c r="C949" s="172" t="s">
        <v>937</v>
      </c>
      <c r="D949" s="173" t="s">
        <v>707</v>
      </c>
      <c r="E949" s="47">
        <f>100</f>
        <v>100</v>
      </c>
      <c r="F949" s="137"/>
    </row>
    <row r="950" spans="1:7" ht="47.25" x14ac:dyDescent="0.2">
      <c r="A950" s="2" t="s">
        <v>870</v>
      </c>
      <c r="B950" s="8" t="s">
        <v>71</v>
      </c>
      <c r="C950" s="7" t="s">
        <v>867</v>
      </c>
      <c r="D950" s="8" t="s">
        <v>0</v>
      </c>
      <c r="E950" s="47">
        <f>E951+E956</f>
        <v>139168.19999999998</v>
      </c>
    </row>
    <row r="951" spans="1:7" ht="31.5" x14ac:dyDescent="0.2">
      <c r="A951" s="2" t="s">
        <v>901</v>
      </c>
      <c r="B951" s="8" t="s">
        <v>71</v>
      </c>
      <c r="C951" s="7" t="s">
        <v>868</v>
      </c>
      <c r="D951" s="8" t="s">
        <v>0</v>
      </c>
      <c r="E951" s="47">
        <f>E952</f>
        <v>111097.9</v>
      </c>
    </row>
    <row r="952" spans="1:7" ht="31.5" x14ac:dyDescent="0.2">
      <c r="A952" s="2" t="s">
        <v>302</v>
      </c>
      <c r="B952" s="8" t="s">
        <v>71</v>
      </c>
      <c r="C952" s="7" t="s">
        <v>869</v>
      </c>
      <c r="D952" s="8"/>
      <c r="E952" s="47">
        <f>E953+E954+E955</f>
        <v>111097.9</v>
      </c>
    </row>
    <row r="953" spans="1:7" x14ac:dyDescent="0.2">
      <c r="A953" s="2" t="s">
        <v>711</v>
      </c>
      <c r="B953" s="8" t="s">
        <v>71</v>
      </c>
      <c r="C953" s="7" t="s">
        <v>869</v>
      </c>
      <c r="D953" s="8">
        <v>110</v>
      </c>
      <c r="E953" s="47">
        <f>105296.2+1615.3+400+1974.9</f>
        <v>109286.39999999999</v>
      </c>
      <c r="F953" s="146"/>
    </row>
    <row r="954" spans="1:7" ht="31.5" x14ac:dyDescent="0.2">
      <c r="A954" s="1" t="s">
        <v>706</v>
      </c>
      <c r="B954" s="8" t="s">
        <v>71</v>
      </c>
      <c r="C954" s="7" t="s">
        <v>869</v>
      </c>
      <c r="D954" s="8">
        <v>240</v>
      </c>
      <c r="E954" s="47">
        <f>1801.1</f>
        <v>1801.1</v>
      </c>
      <c r="F954" s="146"/>
      <c r="G954" s="154"/>
    </row>
    <row r="955" spans="1:7" x14ac:dyDescent="0.2">
      <c r="A955" s="2" t="s">
        <v>712</v>
      </c>
      <c r="B955" s="8" t="s">
        <v>71</v>
      </c>
      <c r="C955" s="7" t="s">
        <v>869</v>
      </c>
      <c r="D955" s="8">
        <v>850</v>
      </c>
      <c r="E955" s="47">
        <f>10.4</f>
        <v>10.4</v>
      </c>
      <c r="F955" s="128"/>
    </row>
    <row r="956" spans="1:7" ht="47.25" x14ac:dyDescent="0.2">
      <c r="A956" s="174" t="s">
        <v>226</v>
      </c>
      <c r="B956" s="21" t="s">
        <v>71</v>
      </c>
      <c r="C956" s="175" t="s">
        <v>938</v>
      </c>
      <c r="D956" s="176"/>
      <c r="E956" s="47">
        <f>E957</f>
        <v>28070.299999999996</v>
      </c>
      <c r="F956" s="128"/>
    </row>
    <row r="957" spans="1:7" ht="31.5" x14ac:dyDescent="0.2">
      <c r="A957" s="65" t="s">
        <v>302</v>
      </c>
      <c r="B957" s="21" t="s">
        <v>71</v>
      </c>
      <c r="C957" s="175" t="s">
        <v>939</v>
      </c>
      <c r="D957" s="176"/>
      <c r="E957" s="47">
        <f>E958+E959+E960</f>
        <v>28070.299999999996</v>
      </c>
      <c r="F957" s="128"/>
    </row>
    <row r="958" spans="1:7" ht="40.5" customHeight="1" x14ac:dyDescent="0.2">
      <c r="A958" s="174" t="s">
        <v>711</v>
      </c>
      <c r="B958" s="21" t="s">
        <v>71</v>
      </c>
      <c r="C958" s="175" t="s">
        <v>939</v>
      </c>
      <c r="D958" s="21">
        <v>110</v>
      </c>
      <c r="E958" s="47">
        <f>24933.1+500.8</f>
        <v>25433.899999999998</v>
      </c>
      <c r="F958" s="146"/>
    </row>
    <row r="959" spans="1:7" ht="37.5" customHeight="1" x14ac:dyDescent="0.2">
      <c r="A959" s="1" t="s">
        <v>706</v>
      </c>
      <c r="B959" s="21" t="s">
        <v>71</v>
      </c>
      <c r="C959" s="175" t="s">
        <v>939</v>
      </c>
      <c r="D959" s="21">
        <v>240</v>
      </c>
      <c r="E959" s="47">
        <f>2620.7-64.6</f>
        <v>2556.1</v>
      </c>
      <c r="F959" s="146"/>
    </row>
    <row r="960" spans="1:7" ht="21" customHeight="1" x14ac:dyDescent="0.2">
      <c r="A960" s="4" t="s">
        <v>712</v>
      </c>
      <c r="B960" s="21" t="s">
        <v>71</v>
      </c>
      <c r="C960" s="175" t="s">
        <v>939</v>
      </c>
      <c r="D960" s="21">
        <v>850</v>
      </c>
      <c r="E960" s="47">
        <f>15.7+64.6</f>
        <v>80.3</v>
      </c>
      <c r="F960" s="146"/>
    </row>
    <row r="961" spans="1:6" ht="47.25" x14ac:dyDescent="0.2">
      <c r="A961" s="11" t="s">
        <v>112</v>
      </c>
      <c r="B961" s="23" t="s">
        <v>71</v>
      </c>
      <c r="C961" s="7" t="s">
        <v>329</v>
      </c>
      <c r="D961" s="8" t="s">
        <v>0</v>
      </c>
      <c r="E961" s="47">
        <f>E962</f>
        <v>35</v>
      </c>
    </row>
    <row r="962" spans="1:6" x14ac:dyDescent="0.2">
      <c r="A962" s="11" t="s">
        <v>113</v>
      </c>
      <c r="B962" s="23" t="s">
        <v>71</v>
      </c>
      <c r="C962" s="7" t="s">
        <v>328</v>
      </c>
      <c r="D962" s="8" t="s">
        <v>0</v>
      </c>
      <c r="E962" s="47">
        <f>E965+E963</f>
        <v>35</v>
      </c>
    </row>
    <row r="963" spans="1:6" ht="31.5" x14ac:dyDescent="0.2">
      <c r="A963" s="2" t="s">
        <v>332</v>
      </c>
      <c r="B963" s="21" t="s">
        <v>71</v>
      </c>
      <c r="C963" s="7" t="s">
        <v>377</v>
      </c>
      <c r="D963" s="8"/>
      <c r="E963" s="47">
        <f>E964</f>
        <v>35</v>
      </c>
    </row>
    <row r="964" spans="1:6" ht="31.5" x14ac:dyDescent="0.2">
      <c r="A964" s="2" t="s">
        <v>710</v>
      </c>
      <c r="B964" s="23" t="s">
        <v>71</v>
      </c>
      <c r="C964" s="7" t="s">
        <v>377</v>
      </c>
      <c r="D964" s="8">
        <v>120</v>
      </c>
      <c r="E964" s="47">
        <f>35</f>
        <v>35</v>
      </c>
    </row>
    <row r="965" spans="1:6" ht="31.5" x14ac:dyDescent="0.2">
      <c r="A965" s="5" t="s">
        <v>378</v>
      </c>
      <c r="B965" s="23" t="s">
        <v>71</v>
      </c>
      <c r="C965" s="7" t="s">
        <v>379</v>
      </c>
      <c r="D965" s="8"/>
      <c r="E965" s="47">
        <f>E966</f>
        <v>0</v>
      </c>
      <c r="F965" s="63"/>
    </row>
    <row r="966" spans="1:6" ht="31.5" x14ac:dyDescent="0.2">
      <c r="A966" s="1" t="s">
        <v>706</v>
      </c>
      <c r="B966" s="23" t="s">
        <v>71</v>
      </c>
      <c r="C966" s="7" t="s">
        <v>379</v>
      </c>
      <c r="D966" s="8">
        <v>240</v>
      </c>
      <c r="E966" s="47">
        <f>15-15</f>
        <v>0</v>
      </c>
      <c r="F966" s="63"/>
    </row>
    <row r="967" spans="1:6" ht="47.25" x14ac:dyDescent="0.2">
      <c r="A967" s="41" t="s">
        <v>115</v>
      </c>
      <c r="B967" s="23" t="s">
        <v>71</v>
      </c>
      <c r="C967" s="24" t="s">
        <v>394</v>
      </c>
      <c r="D967" s="23" t="s">
        <v>0</v>
      </c>
      <c r="E967" s="47">
        <f>E968</f>
        <v>13000</v>
      </c>
    </row>
    <row r="968" spans="1:6" ht="31.5" x14ac:dyDescent="0.2">
      <c r="A968" s="41" t="s">
        <v>175</v>
      </c>
      <c r="B968" s="23" t="s">
        <v>71</v>
      </c>
      <c r="C968" s="24" t="s">
        <v>409</v>
      </c>
      <c r="D968" s="23" t="s">
        <v>0</v>
      </c>
      <c r="E968" s="47">
        <f>E969+E971</f>
        <v>13000</v>
      </c>
    </row>
    <row r="969" spans="1:6" ht="47.25" x14ac:dyDescent="0.2">
      <c r="A969" s="41" t="s">
        <v>660</v>
      </c>
      <c r="B969" s="23" t="s">
        <v>71</v>
      </c>
      <c r="C969" s="24" t="s">
        <v>661</v>
      </c>
      <c r="D969" s="23"/>
      <c r="E969" s="47">
        <f>E970</f>
        <v>8000</v>
      </c>
    </row>
    <row r="970" spans="1:6" ht="47.25" x14ac:dyDescent="0.2">
      <c r="A970" s="2" t="s">
        <v>682</v>
      </c>
      <c r="B970" s="23" t="s">
        <v>71</v>
      </c>
      <c r="C970" s="24" t="s">
        <v>661</v>
      </c>
      <c r="D970" s="23">
        <v>810</v>
      </c>
      <c r="E970" s="47">
        <f>8000</f>
        <v>8000</v>
      </c>
    </row>
    <row r="971" spans="1:6" ht="63" x14ac:dyDescent="0.2">
      <c r="A971" s="41" t="s">
        <v>662</v>
      </c>
      <c r="B971" s="23" t="s">
        <v>71</v>
      </c>
      <c r="C971" s="24" t="s">
        <v>663</v>
      </c>
      <c r="D971" s="23"/>
      <c r="E971" s="47">
        <f>E972</f>
        <v>5000</v>
      </c>
    </row>
    <row r="972" spans="1:6" ht="47.25" x14ac:dyDescent="0.2">
      <c r="A972" s="2" t="s">
        <v>682</v>
      </c>
      <c r="B972" s="23" t="s">
        <v>71</v>
      </c>
      <c r="C972" s="24" t="s">
        <v>663</v>
      </c>
      <c r="D972" s="23">
        <v>810</v>
      </c>
      <c r="E972" s="47">
        <f>5000</f>
        <v>5000</v>
      </c>
    </row>
    <row r="973" spans="1:6" ht="47.25" x14ac:dyDescent="0.2">
      <c r="A973" s="41" t="s">
        <v>144</v>
      </c>
      <c r="B973" s="23" t="s">
        <v>71</v>
      </c>
      <c r="C973" s="24" t="s">
        <v>294</v>
      </c>
      <c r="D973" s="23" t="s">
        <v>0</v>
      </c>
      <c r="E973" s="47">
        <f>E974</f>
        <v>100</v>
      </c>
    </row>
    <row r="974" spans="1:6" ht="47.25" x14ac:dyDescent="0.2">
      <c r="A974" s="41" t="s">
        <v>145</v>
      </c>
      <c r="B974" s="23" t="s">
        <v>71</v>
      </c>
      <c r="C974" s="24" t="s">
        <v>298</v>
      </c>
      <c r="D974" s="23" t="s">
        <v>0</v>
      </c>
      <c r="E974" s="47">
        <f>E975</f>
        <v>100</v>
      </c>
    </row>
    <row r="975" spans="1:6" ht="47.25" x14ac:dyDescent="0.2">
      <c r="A975" s="41" t="s">
        <v>230</v>
      </c>
      <c r="B975" s="23" t="s">
        <v>71</v>
      </c>
      <c r="C975" s="24" t="s">
        <v>664</v>
      </c>
      <c r="D975" s="23" t="s">
        <v>0</v>
      </c>
      <c r="E975" s="47">
        <f>E976</f>
        <v>100</v>
      </c>
    </row>
    <row r="976" spans="1:6" ht="31.5" x14ac:dyDescent="0.2">
      <c r="A976" s="39" t="s">
        <v>307</v>
      </c>
      <c r="B976" s="23" t="s">
        <v>71</v>
      </c>
      <c r="C976" s="36" t="s">
        <v>940</v>
      </c>
      <c r="D976" s="23"/>
      <c r="E976" s="47">
        <f>E977</f>
        <v>100</v>
      </c>
    </row>
    <row r="977" spans="1:6" ht="31.5" x14ac:dyDescent="0.2">
      <c r="A977" s="1" t="s">
        <v>706</v>
      </c>
      <c r="B977" s="23" t="s">
        <v>71</v>
      </c>
      <c r="C977" s="36" t="s">
        <v>940</v>
      </c>
      <c r="D977" s="23">
        <v>240</v>
      </c>
      <c r="E977" s="47">
        <f>100</f>
        <v>100</v>
      </c>
      <c r="F977" s="110"/>
    </row>
    <row r="978" spans="1:6" ht="63" customHeight="1" x14ac:dyDescent="0.2">
      <c r="A978" s="40" t="s">
        <v>118</v>
      </c>
      <c r="B978" s="189" t="s">
        <v>71</v>
      </c>
      <c r="C978" s="97" t="s">
        <v>431</v>
      </c>
      <c r="D978" s="189" t="s">
        <v>0</v>
      </c>
      <c r="E978" s="47">
        <f>E979+E983+E990</f>
        <v>200</v>
      </c>
    </row>
    <row r="979" spans="1:6" ht="31.5" x14ac:dyDescent="0.2">
      <c r="A979" s="40" t="s">
        <v>146</v>
      </c>
      <c r="B979" s="189" t="s">
        <v>71</v>
      </c>
      <c r="C979" s="97" t="s">
        <v>465</v>
      </c>
      <c r="D979" s="189" t="s">
        <v>0</v>
      </c>
      <c r="E979" s="47">
        <f>E980</f>
        <v>30</v>
      </c>
    </row>
    <row r="980" spans="1:6" ht="47.25" x14ac:dyDescent="0.2">
      <c r="A980" s="40" t="s">
        <v>220</v>
      </c>
      <c r="B980" s="189" t="s">
        <v>71</v>
      </c>
      <c r="C980" s="97" t="s">
        <v>522</v>
      </c>
      <c r="D980" s="189" t="s">
        <v>0</v>
      </c>
      <c r="E980" s="47">
        <f>E981</f>
        <v>30</v>
      </c>
    </row>
    <row r="981" spans="1:6" ht="31.5" x14ac:dyDescent="0.2">
      <c r="A981" s="11" t="s">
        <v>302</v>
      </c>
      <c r="B981" s="23" t="s">
        <v>71</v>
      </c>
      <c r="C981" s="7" t="s">
        <v>635</v>
      </c>
      <c r="D981" s="8"/>
      <c r="E981" s="47">
        <f>E982</f>
        <v>30</v>
      </c>
      <c r="F981" s="110"/>
    </row>
    <row r="982" spans="1:6" x14ac:dyDescent="0.2">
      <c r="A982" s="2" t="s">
        <v>945</v>
      </c>
      <c r="B982" s="23" t="s">
        <v>71</v>
      </c>
      <c r="C982" s="7" t="s">
        <v>635</v>
      </c>
      <c r="D982" s="8">
        <v>620</v>
      </c>
      <c r="E982" s="47">
        <f>30</f>
        <v>30</v>
      </c>
      <c r="F982" s="111"/>
    </row>
    <row r="983" spans="1:6" ht="47.25" x14ac:dyDescent="0.2">
      <c r="A983" s="41" t="s">
        <v>119</v>
      </c>
      <c r="B983" s="23" t="s">
        <v>71</v>
      </c>
      <c r="C983" s="24" t="s">
        <v>432</v>
      </c>
      <c r="D983" s="23" t="s">
        <v>0</v>
      </c>
      <c r="E983" s="47">
        <f>E984+E987</f>
        <v>130</v>
      </c>
    </row>
    <row r="984" spans="1:6" ht="47.25" x14ac:dyDescent="0.2">
      <c r="A984" s="41" t="s">
        <v>120</v>
      </c>
      <c r="B984" s="23" t="s">
        <v>71</v>
      </c>
      <c r="C984" s="24" t="s">
        <v>433</v>
      </c>
      <c r="D984" s="23" t="s">
        <v>0</v>
      </c>
      <c r="E984" s="47">
        <f>E985</f>
        <v>100</v>
      </c>
    </row>
    <row r="985" spans="1:6" ht="31.5" x14ac:dyDescent="0.2">
      <c r="A985" s="11" t="s">
        <v>302</v>
      </c>
      <c r="B985" s="23" t="s">
        <v>71</v>
      </c>
      <c r="C985" s="7" t="s">
        <v>831</v>
      </c>
      <c r="D985" s="8"/>
      <c r="E985" s="47">
        <f>E986</f>
        <v>100</v>
      </c>
      <c r="F985" s="110"/>
    </row>
    <row r="986" spans="1:6" x14ac:dyDescent="0.2">
      <c r="A986" s="2" t="s">
        <v>945</v>
      </c>
      <c r="B986" s="23" t="s">
        <v>71</v>
      </c>
      <c r="C986" s="7" t="s">
        <v>831</v>
      </c>
      <c r="D986" s="8">
        <v>620</v>
      </c>
      <c r="E986" s="47">
        <f>100</f>
        <v>100</v>
      </c>
      <c r="F986" s="111"/>
    </row>
    <row r="987" spans="1:6" ht="31.5" x14ac:dyDescent="0.2">
      <c r="A987" s="40" t="s">
        <v>528</v>
      </c>
      <c r="B987" s="189" t="s">
        <v>71</v>
      </c>
      <c r="C987" s="97" t="s">
        <v>529</v>
      </c>
      <c r="D987" s="189" t="s">
        <v>0</v>
      </c>
      <c r="E987" s="47">
        <f>E988</f>
        <v>30</v>
      </c>
    </row>
    <row r="988" spans="1:6" ht="31.5" x14ac:dyDescent="0.2">
      <c r="A988" s="11" t="s">
        <v>302</v>
      </c>
      <c r="B988" s="189" t="s">
        <v>71</v>
      </c>
      <c r="C988" s="7" t="s">
        <v>636</v>
      </c>
      <c r="D988" s="8"/>
      <c r="E988" s="47">
        <f>E989</f>
        <v>30</v>
      </c>
      <c r="F988" s="110"/>
    </row>
    <row r="989" spans="1:6" x14ac:dyDescent="0.2">
      <c r="A989" s="2" t="s">
        <v>945</v>
      </c>
      <c r="B989" s="189" t="s">
        <v>71</v>
      </c>
      <c r="C989" s="7" t="s">
        <v>636</v>
      </c>
      <c r="D989" s="8">
        <v>620</v>
      </c>
      <c r="E989" s="47">
        <f>30</f>
        <v>30</v>
      </c>
      <c r="F989" s="111"/>
    </row>
    <row r="990" spans="1:6" ht="46.5" customHeight="1" x14ac:dyDescent="0.2">
      <c r="A990" s="40" t="s">
        <v>148</v>
      </c>
      <c r="B990" s="189" t="s">
        <v>71</v>
      </c>
      <c r="C990" s="97" t="s">
        <v>469</v>
      </c>
      <c r="D990" s="189" t="s">
        <v>0</v>
      </c>
      <c r="E990" s="47">
        <f>E991</f>
        <v>40</v>
      </c>
    </row>
    <row r="991" spans="1:6" ht="31.5" x14ac:dyDescent="0.2">
      <c r="A991" s="40" t="s">
        <v>231</v>
      </c>
      <c r="B991" s="189" t="s">
        <v>71</v>
      </c>
      <c r="C991" s="97" t="s">
        <v>665</v>
      </c>
      <c r="D991" s="189" t="s">
        <v>0</v>
      </c>
      <c r="E991" s="47">
        <f>E992</f>
        <v>40</v>
      </c>
    </row>
    <row r="992" spans="1:6" ht="31.5" x14ac:dyDescent="0.2">
      <c r="A992" s="39" t="s">
        <v>302</v>
      </c>
      <c r="B992" s="189" t="s">
        <v>71</v>
      </c>
      <c r="C992" s="97" t="s">
        <v>703</v>
      </c>
      <c r="D992" s="189"/>
      <c r="E992" s="47">
        <f>E993</f>
        <v>40</v>
      </c>
    </row>
    <row r="993" spans="1:7" x14ac:dyDescent="0.2">
      <c r="A993" s="2" t="s">
        <v>945</v>
      </c>
      <c r="B993" s="23" t="s">
        <v>71</v>
      </c>
      <c r="C993" s="24" t="s">
        <v>703</v>
      </c>
      <c r="D993" s="8">
        <v>620</v>
      </c>
      <c r="E993" s="47">
        <f>40</f>
        <v>40</v>
      </c>
    </row>
    <row r="994" spans="1:7" ht="47.25" x14ac:dyDescent="0.2">
      <c r="A994" s="41" t="s">
        <v>182</v>
      </c>
      <c r="B994" s="23" t="s">
        <v>71</v>
      </c>
      <c r="C994" s="24" t="s">
        <v>614</v>
      </c>
      <c r="D994" s="23" t="s">
        <v>0</v>
      </c>
      <c r="E994" s="47">
        <f>E995</f>
        <v>1500</v>
      </c>
    </row>
    <row r="995" spans="1:7" ht="47.25" customHeight="1" x14ac:dyDescent="0.2">
      <c r="A995" s="39" t="s">
        <v>941</v>
      </c>
      <c r="B995" s="23" t="s">
        <v>71</v>
      </c>
      <c r="C995" s="24" t="s">
        <v>942</v>
      </c>
      <c r="D995" s="23" t="s">
        <v>0</v>
      </c>
      <c r="E995" s="47">
        <f>E996</f>
        <v>1500</v>
      </c>
    </row>
    <row r="996" spans="1:7" ht="31.5" x14ac:dyDescent="0.2">
      <c r="A996" s="41" t="s">
        <v>302</v>
      </c>
      <c r="B996" s="23" t="s">
        <v>71</v>
      </c>
      <c r="C996" s="24" t="s">
        <v>943</v>
      </c>
      <c r="D996" s="23"/>
      <c r="E996" s="47">
        <f>E997+E998</f>
        <v>1500</v>
      </c>
    </row>
    <row r="997" spans="1:7" x14ac:dyDescent="0.2">
      <c r="A997" s="2" t="s">
        <v>944</v>
      </c>
      <c r="B997" s="23" t="s">
        <v>71</v>
      </c>
      <c r="C997" s="24" t="s">
        <v>943</v>
      </c>
      <c r="D997" s="8">
        <v>610</v>
      </c>
      <c r="E997" s="47">
        <f>1000</f>
        <v>1000</v>
      </c>
      <c r="F997" s="68"/>
    </row>
    <row r="998" spans="1:7" x14ac:dyDescent="0.2">
      <c r="A998" s="2" t="s">
        <v>945</v>
      </c>
      <c r="B998" s="23" t="s">
        <v>71</v>
      </c>
      <c r="C998" s="24" t="s">
        <v>943</v>
      </c>
      <c r="D998" s="8">
        <v>620</v>
      </c>
      <c r="E998" s="47">
        <f>500</f>
        <v>500</v>
      </c>
      <c r="F998" s="68"/>
    </row>
    <row r="999" spans="1:7" ht="47.25" x14ac:dyDescent="0.2">
      <c r="A999" s="41" t="s">
        <v>127</v>
      </c>
      <c r="B999" s="23" t="s">
        <v>71</v>
      </c>
      <c r="C999" s="24" t="s">
        <v>292</v>
      </c>
      <c r="D999" s="23" t="s">
        <v>0</v>
      </c>
      <c r="E999" s="47">
        <f>E1000</f>
        <v>200</v>
      </c>
    </row>
    <row r="1000" spans="1:7" x14ac:dyDescent="0.2">
      <c r="A1000" s="41" t="s">
        <v>214</v>
      </c>
      <c r="B1000" s="23" t="s">
        <v>71</v>
      </c>
      <c r="C1000" s="24" t="s">
        <v>416</v>
      </c>
      <c r="D1000" s="23" t="s">
        <v>0</v>
      </c>
      <c r="E1000" s="47">
        <f>E1001</f>
        <v>200</v>
      </c>
    </row>
    <row r="1001" spans="1:7" ht="31.5" x14ac:dyDescent="0.2">
      <c r="A1001" s="39" t="s">
        <v>307</v>
      </c>
      <c r="B1001" s="189" t="s">
        <v>71</v>
      </c>
      <c r="C1001" s="24" t="s">
        <v>531</v>
      </c>
      <c r="D1001" s="23"/>
      <c r="E1001" s="47">
        <f>E1002</f>
        <v>200</v>
      </c>
      <c r="F1001" s="112"/>
    </row>
    <row r="1002" spans="1:7" ht="31.5" x14ac:dyDescent="0.2">
      <c r="A1002" s="1" t="s">
        <v>706</v>
      </c>
      <c r="B1002" s="189" t="s">
        <v>71</v>
      </c>
      <c r="C1002" s="24" t="s">
        <v>531</v>
      </c>
      <c r="D1002" s="23">
        <v>240</v>
      </c>
      <c r="E1002" s="47">
        <f>200</f>
        <v>200</v>
      </c>
      <c r="F1002" s="112"/>
    </row>
    <row r="1003" spans="1:7" ht="31.5" x14ac:dyDescent="0.2">
      <c r="A1003" s="39" t="s">
        <v>110</v>
      </c>
      <c r="B1003" s="35" t="s">
        <v>71</v>
      </c>
      <c r="C1003" s="36" t="s">
        <v>344</v>
      </c>
      <c r="D1003" s="35" t="s">
        <v>0</v>
      </c>
      <c r="E1003" s="47">
        <f>E1004</f>
        <v>85565</v>
      </c>
    </row>
    <row r="1004" spans="1:7" ht="31.5" x14ac:dyDescent="0.2">
      <c r="A1004" s="11" t="s">
        <v>495</v>
      </c>
      <c r="B1004" s="8" t="s">
        <v>71</v>
      </c>
      <c r="C1004" s="7" t="s">
        <v>492</v>
      </c>
      <c r="D1004" s="8"/>
      <c r="E1004" s="47">
        <f>E1005+E1008</f>
        <v>85565</v>
      </c>
    </row>
    <row r="1005" spans="1:7" x14ac:dyDescent="0.2">
      <c r="A1005" s="11" t="s">
        <v>9</v>
      </c>
      <c r="B1005" s="8" t="s">
        <v>71</v>
      </c>
      <c r="C1005" s="7" t="s">
        <v>493</v>
      </c>
      <c r="D1005" s="8"/>
      <c r="E1005" s="47">
        <f>E1006</f>
        <v>65530.6</v>
      </c>
    </row>
    <row r="1006" spans="1:7" x14ac:dyDescent="0.2">
      <c r="A1006" s="11" t="s">
        <v>749</v>
      </c>
      <c r="B1006" s="8" t="s">
        <v>71</v>
      </c>
      <c r="C1006" s="7" t="s">
        <v>494</v>
      </c>
      <c r="D1006" s="8"/>
      <c r="E1006" s="47">
        <f>SUM(E1007:E1007)</f>
        <v>65530.6</v>
      </c>
    </row>
    <row r="1007" spans="1:7" ht="31.5" x14ac:dyDescent="0.2">
      <c r="A1007" s="2" t="s">
        <v>710</v>
      </c>
      <c r="B1007" s="35" t="s">
        <v>71</v>
      </c>
      <c r="C1007" s="36" t="s">
        <v>494</v>
      </c>
      <c r="D1007" s="35">
        <v>120</v>
      </c>
      <c r="E1007" s="47">
        <f>64569.5+961.1</f>
        <v>65530.6</v>
      </c>
      <c r="F1007" s="137"/>
      <c r="G1007" s="82"/>
    </row>
    <row r="1008" spans="1:7" ht="31.5" x14ac:dyDescent="0.2">
      <c r="A1008" s="39" t="s">
        <v>674</v>
      </c>
      <c r="B1008" s="35" t="s">
        <v>71</v>
      </c>
      <c r="C1008" s="36" t="s">
        <v>355</v>
      </c>
      <c r="D1008" s="35"/>
      <c r="E1008" s="47">
        <f>SUM(E1009:E1011)</f>
        <v>20034.399999999998</v>
      </c>
    </row>
    <row r="1009" spans="1:8" ht="31.5" x14ac:dyDescent="0.2">
      <c r="A1009" s="2" t="s">
        <v>710</v>
      </c>
      <c r="B1009" s="35" t="s">
        <v>71</v>
      </c>
      <c r="C1009" s="36" t="s">
        <v>355</v>
      </c>
      <c r="D1009" s="35">
        <v>120</v>
      </c>
      <c r="E1009" s="200">
        <v>16916.3</v>
      </c>
      <c r="F1009" s="158"/>
    </row>
    <row r="1010" spans="1:8" ht="31.5" x14ac:dyDescent="0.2">
      <c r="A1010" s="1" t="s">
        <v>706</v>
      </c>
      <c r="B1010" s="35" t="s">
        <v>71</v>
      </c>
      <c r="C1010" s="36" t="s">
        <v>355</v>
      </c>
      <c r="D1010" s="35">
        <v>240</v>
      </c>
      <c r="E1010" s="200">
        <v>3106.1</v>
      </c>
      <c r="F1010" s="55"/>
    </row>
    <row r="1011" spans="1:8" x14ac:dyDescent="0.2">
      <c r="A1011" s="39" t="s">
        <v>712</v>
      </c>
      <c r="B1011" s="35" t="s">
        <v>71</v>
      </c>
      <c r="C1011" s="36" t="s">
        <v>355</v>
      </c>
      <c r="D1011" s="35">
        <v>850</v>
      </c>
      <c r="E1011" s="200">
        <v>12</v>
      </c>
    </row>
    <row r="1012" spans="1:8" x14ac:dyDescent="0.2">
      <c r="A1012" s="16" t="s">
        <v>72</v>
      </c>
      <c r="B1012" s="224" t="s">
        <v>73</v>
      </c>
      <c r="C1012" s="224" t="s">
        <v>0</v>
      </c>
      <c r="D1012" s="224" t="s">
        <v>0</v>
      </c>
      <c r="E1012" s="225">
        <f>E1013+E1037</f>
        <v>1127953</v>
      </c>
    </row>
    <row r="1013" spans="1:8" x14ac:dyDescent="0.2">
      <c r="A1013" s="17" t="s">
        <v>74</v>
      </c>
      <c r="B1013" s="18" t="s">
        <v>75</v>
      </c>
      <c r="C1013" s="15" t="s">
        <v>0</v>
      </c>
      <c r="D1013" s="18" t="s">
        <v>0</v>
      </c>
      <c r="E1013" s="182">
        <f>E1014</f>
        <v>1009142.6</v>
      </c>
    </row>
    <row r="1014" spans="1:8" ht="31.5" x14ac:dyDescent="0.2">
      <c r="A1014" s="2" t="s">
        <v>129</v>
      </c>
      <c r="B1014" s="8" t="s">
        <v>75</v>
      </c>
      <c r="C1014" s="7" t="s">
        <v>290</v>
      </c>
      <c r="D1014" s="8" t="s">
        <v>0</v>
      </c>
      <c r="E1014" s="47">
        <f>E1015+E1018+E1021+E1025+E1030+E1034</f>
        <v>1009142.6</v>
      </c>
    </row>
    <row r="1015" spans="1:8" x14ac:dyDescent="0.2">
      <c r="A1015" s="2" t="s">
        <v>589</v>
      </c>
      <c r="B1015" s="8" t="s">
        <v>75</v>
      </c>
      <c r="C1015" s="7" t="s">
        <v>592</v>
      </c>
      <c r="D1015" s="8" t="s">
        <v>0</v>
      </c>
      <c r="E1015" s="47">
        <f>E1017</f>
        <v>176944.19999999998</v>
      </c>
    </row>
    <row r="1016" spans="1:8" ht="31.5" x14ac:dyDescent="0.2">
      <c r="A1016" s="2" t="s">
        <v>302</v>
      </c>
      <c r="B1016" s="8" t="s">
        <v>75</v>
      </c>
      <c r="C1016" s="7" t="s">
        <v>593</v>
      </c>
      <c r="D1016" s="8"/>
      <c r="E1016" s="47">
        <f>E1017</f>
        <v>176944.19999999998</v>
      </c>
    </row>
    <row r="1017" spans="1:8" x14ac:dyDescent="0.2">
      <c r="A1017" s="2" t="s">
        <v>944</v>
      </c>
      <c r="B1017" s="8" t="s">
        <v>75</v>
      </c>
      <c r="C1017" s="7" t="s">
        <v>593</v>
      </c>
      <c r="D1017" s="8">
        <v>610</v>
      </c>
      <c r="E1017" s="47">
        <f>176646.4+297.8</f>
        <v>176944.19999999998</v>
      </c>
      <c r="F1017" s="111"/>
      <c r="G1017" s="143"/>
    </row>
    <row r="1018" spans="1:8" x14ac:dyDescent="0.2">
      <c r="A1018" s="2" t="s">
        <v>590</v>
      </c>
      <c r="B1018" s="8" t="s">
        <v>75</v>
      </c>
      <c r="C1018" s="7" t="s">
        <v>594</v>
      </c>
      <c r="D1018" s="8" t="s">
        <v>0</v>
      </c>
      <c r="E1018" s="47">
        <f>E1019</f>
        <v>90556.3</v>
      </c>
    </row>
    <row r="1019" spans="1:8" ht="31.5" x14ac:dyDescent="0.2">
      <c r="A1019" s="2" t="s">
        <v>302</v>
      </c>
      <c r="B1019" s="8" t="s">
        <v>75</v>
      </c>
      <c r="C1019" s="7" t="s">
        <v>595</v>
      </c>
      <c r="D1019" s="8"/>
      <c r="E1019" s="47">
        <f>E1020</f>
        <v>90556.3</v>
      </c>
    </row>
    <row r="1020" spans="1:8" x14ac:dyDescent="0.2">
      <c r="A1020" s="2" t="s">
        <v>944</v>
      </c>
      <c r="B1020" s="8" t="s">
        <v>75</v>
      </c>
      <c r="C1020" s="7" t="s">
        <v>595</v>
      </c>
      <c r="D1020" s="8">
        <v>610</v>
      </c>
      <c r="E1020" s="47">
        <f>90526+30.3</f>
        <v>90556.3</v>
      </c>
      <c r="F1020" s="111"/>
      <c r="G1020" s="64"/>
    </row>
    <row r="1021" spans="1:8" x14ac:dyDescent="0.2">
      <c r="A1021" s="2" t="s">
        <v>591</v>
      </c>
      <c r="B1021" s="8" t="s">
        <v>75</v>
      </c>
      <c r="C1021" s="7" t="s">
        <v>596</v>
      </c>
      <c r="D1021" s="8" t="s">
        <v>0</v>
      </c>
      <c r="E1021" s="47">
        <f>E1022</f>
        <v>645977.5</v>
      </c>
    </row>
    <row r="1022" spans="1:8" ht="31.5" x14ac:dyDescent="0.2">
      <c r="A1022" s="2" t="s">
        <v>302</v>
      </c>
      <c r="B1022" s="8" t="s">
        <v>75</v>
      </c>
      <c r="C1022" s="7" t="s">
        <v>597</v>
      </c>
      <c r="D1022" s="8"/>
      <c r="E1022" s="47">
        <f>E1023+E1024</f>
        <v>645977.5</v>
      </c>
    </row>
    <row r="1023" spans="1:8" x14ac:dyDescent="0.2">
      <c r="A1023" s="2" t="s">
        <v>944</v>
      </c>
      <c r="B1023" s="8" t="s">
        <v>75</v>
      </c>
      <c r="C1023" s="7" t="s">
        <v>597</v>
      </c>
      <c r="D1023" s="8">
        <v>610</v>
      </c>
      <c r="E1023" s="47">
        <f>349827.4+793.1</f>
        <v>350620.5</v>
      </c>
      <c r="F1023" s="111"/>
      <c r="G1023" s="64"/>
      <c r="H1023" s="64"/>
    </row>
    <row r="1024" spans="1:8" x14ac:dyDescent="0.2">
      <c r="A1024" s="2" t="s">
        <v>945</v>
      </c>
      <c r="B1024" s="8" t="s">
        <v>75</v>
      </c>
      <c r="C1024" s="7" t="s">
        <v>597</v>
      </c>
      <c r="D1024" s="8">
        <v>620</v>
      </c>
      <c r="E1024" s="47">
        <f>294101.4+1255.6</f>
        <v>295357</v>
      </c>
      <c r="F1024" s="111"/>
    </row>
    <row r="1025" spans="1:6" x14ac:dyDescent="0.2">
      <c r="A1025" s="2" t="s">
        <v>215</v>
      </c>
      <c r="B1025" s="8" t="s">
        <v>75</v>
      </c>
      <c r="C1025" s="7" t="s">
        <v>291</v>
      </c>
      <c r="D1025" s="8" t="s">
        <v>0</v>
      </c>
      <c r="E1025" s="47">
        <f>E1028+E1026</f>
        <v>25585.599999999999</v>
      </c>
    </row>
    <row r="1026" spans="1:6" ht="31.5" x14ac:dyDescent="0.2">
      <c r="A1026" s="2" t="s">
        <v>302</v>
      </c>
      <c r="B1026" s="8" t="s">
        <v>75</v>
      </c>
      <c r="C1026" s="7" t="s">
        <v>1089</v>
      </c>
      <c r="D1026" s="8" t="s">
        <v>0</v>
      </c>
      <c r="E1026" s="47">
        <f>E1027</f>
        <v>25265.599999999999</v>
      </c>
    </row>
    <row r="1027" spans="1:6" x14ac:dyDescent="0.2">
      <c r="A1027" s="2" t="s">
        <v>944</v>
      </c>
      <c r="B1027" s="8" t="s">
        <v>75</v>
      </c>
      <c r="C1027" s="7" t="s">
        <v>1089</v>
      </c>
      <c r="D1027" s="8">
        <v>620</v>
      </c>
      <c r="E1027" s="47">
        <v>25265.599999999999</v>
      </c>
      <c r="F1027" s="295"/>
    </row>
    <row r="1028" spans="1:6" ht="47.25" x14ac:dyDescent="0.2">
      <c r="A1028" s="39" t="s">
        <v>871</v>
      </c>
      <c r="B1028" s="8" t="s">
        <v>75</v>
      </c>
      <c r="C1028" s="7" t="s">
        <v>415</v>
      </c>
      <c r="D1028" s="8" t="s">
        <v>0</v>
      </c>
      <c r="E1028" s="47">
        <f>E1029</f>
        <v>320</v>
      </c>
    </row>
    <row r="1029" spans="1:6" x14ac:dyDescent="0.2">
      <c r="A1029" s="2" t="s">
        <v>944</v>
      </c>
      <c r="B1029" s="8" t="s">
        <v>75</v>
      </c>
      <c r="C1029" s="7" t="s">
        <v>415</v>
      </c>
      <c r="D1029" s="8">
        <v>610</v>
      </c>
      <c r="E1029" s="47">
        <v>320</v>
      </c>
      <c r="F1029" s="112"/>
    </row>
    <row r="1030" spans="1:6" ht="31.5" x14ac:dyDescent="0.2">
      <c r="A1030" s="2" t="s">
        <v>232</v>
      </c>
      <c r="B1030" s="8" t="s">
        <v>75</v>
      </c>
      <c r="C1030" s="7" t="s">
        <v>639</v>
      </c>
      <c r="D1030" s="8" t="s">
        <v>0</v>
      </c>
      <c r="E1030" s="47">
        <f>E1031</f>
        <v>67784.7</v>
      </c>
    </row>
    <row r="1031" spans="1:6" ht="31.5" x14ac:dyDescent="0.2">
      <c r="A1031" s="2" t="s">
        <v>302</v>
      </c>
      <c r="B1031" s="8" t="s">
        <v>75</v>
      </c>
      <c r="C1031" s="7" t="s">
        <v>649</v>
      </c>
      <c r="D1031" s="8"/>
      <c r="E1031" s="47">
        <f>E1032+E1033</f>
        <v>67784.7</v>
      </c>
    </row>
    <row r="1032" spans="1:6" x14ac:dyDescent="0.2">
      <c r="A1032" s="2" t="s">
        <v>944</v>
      </c>
      <c r="B1032" s="8" t="s">
        <v>75</v>
      </c>
      <c r="C1032" s="7" t="s">
        <v>649</v>
      </c>
      <c r="D1032" s="8">
        <v>610</v>
      </c>
      <c r="E1032" s="47">
        <f>31753.5+16491.2</f>
        <v>48244.7</v>
      </c>
      <c r="F1032" s="143"/>
    </row>
    <row r="1033" spans="1:6" x14ac:dyDescent="0.2">
      <c r="A1033" s="2" t="s">
        <v>945</v>
      </c>
      <c r="B1033" s="8" t="s">
        <v>75</v>
      </c>
      <c r="C1033" s="7" t="s">
        <v>649</v>
      </c>
      <c r="D1033" s="8">
        <v>620</v>
      </c>
      <c r="E1033" s="47">
        <f>13500+6040</f>
        <v>19540</v>
      </c>
      <c r="F1033" s="111"/>
    </row>
    <row r="1034" spans="1:6" ht="31.5" x14ac:dyDescent="0.2">
      <c r="A1034" s="11" t="s">
        <v>216</v>
      </c>
      <c r="B1034" s="8" t="s">
        <v>75</v>
      </c>
      <c r="C1034" s="7" t="s">
        <v>641</v>
      </c>
      <c r="D1034" s="8"/>
      <c r="E1034" s="47">
        <f>E1035</f>
        <v>2294.3000000000002</v>
      </c>
      <c r="F1034" s="111"/>
    </row>
    <row r="1035" spans="1:6" ht="31.5" x14ac:dyDescent="0.2">
      <c r="A1035" s="2" t="s">
        <v>302</v>
      </c>
      <c r="B1035" s="8" t="s">
        <v>75</v>
      </c>
      <c r="C1035" s="7" t="s">
        <v>642</v>
      </c>
      <c r="D1035" s="8"/>
      <c r="E1035" s="47">
        <f>E1036</f>
        <v>2294.3000000000002</v>
      </c>
      <c r="F1035" s="111"/>
    </row>
    <row r="1036" spans="1:6" x14ac:dyDescent="0.2">
      <c r="A1036" s="2" t="s">
        <v>944</v>
      </c>
      <c r="B1036" s="8" t="s">
        <v>75</v>
      </c>
      <c r="C1036" s="7" t="s">
        <v>642</v>
      </c>
      <c r="D1036" s="8">
        <v>610</v>
      </c>
      <c r="E1036" s="47">
        <v>2294.3000000000002</v>
      </c>
      <c r="F1036" s="111"/>
    </row>
    <row r="1037" spans="1:6" x14ac:dyDescent="0.2">
      <c r="A1037" s="17" t="s">
        <v>76</v>
      </c>
      <c r="B1037" s="18" t="s">
        <v>77</v>
      </c>
      <c r="C1037" s="15" t="s">
        <v>0</v>
      </c>
      <c r="D1037" s="18" t="s">
        <v>0</v>
      </c>
      <c r="E1037" s="182">
        <f>E1038+E1044+E1049+E1062+E1076</f>
        <v>118810.40000000001</v>
      </c>
    </row>
    <row r="1038" spans="1:6" ht="47.25" x14ac:dyDescent="0.2">
      <c r="A1038" s="2" t="s">
        <v>112</v>
      </c>
      <c r="B1038" s="8" t="s">
        <v>77</v>
      </c>
      <c r="C1038" s="7" t="s">
        <v>329</v>
      </c>
      <c r="D1038" s="8" t="s">
        <v>0</v>
      </c>
      <c r="E1038" s="47">
        <f>E1039</f>
        <v>25</v>
      </c>
    </row>
    <row r="1039" spans="1:6" x14ac:dyDescent="0.2">
      <c r="A1039" s="2" t="s">
        <v>113</v>
      </c>
      <c r="B1039" s="8" t="s">
        <v>77</v>
      </c>
      <c r="C1039" s="7" t="s">
        <v>328</v>
      </c>
      <c r="D1039" s="8" t="s">
        <v>0</v>
      </c>
      <c r="E1039" s="47">
        <f>E1040+E1042</f>
        <v>25</v>
      </c>
    </row>
    <row r="1040" spans="1:6" ht="31.5" x14ac:dyDescent="0.2">
      <c r="A1040" s="2" t="s">
        <v>332</v>
      </c>
      <c r="B1040" s="8" t="s">
        <v>77</v>
      </c>
      <c r="C1040" s="7" t="s">
        <v>377</v>
      </c>
      <c r="D1040" s="8"/>
      <c r="E1040" s="47">
        <f>E1041</f>
        <v>25</v>
      </c>
    </row>
    <row r="1041" spans="1:6" ht="31.5" x14ac:dyDescent="0.2">
      <c r="A1041" s="2" t="s">
        <v>710</v>
      </c>
      <c r="B1041" s="8" t="s">
        <v>77</v>
      </c>
      <c r="C1041" s="7" t="s">
        <v>377</v>
      </c>
      <c r="D1041" s="8">
        <v>120</v>
      </c>
      <c r="E1041" s="47">
        <v>25</v>
      </c>
    </row>
    <row r="1042" spans="1:6" ht="31.5" x14ac:dyDescent="0.2">
      <c r="A1042" s="37" t="s">
        <v>378</v>
      </c>
      <c r="B1042" s="35" t="s">
        <v>77</v>
      </c>
      <c r="C1042" s="36" t="s">
        <v>379</v>
      </c>
      <c r="D1042" s="35"/>
      <c r="E1042" s="47">
        <f>E1043</f>
        <v>0</v>
      </c>
    </row>
    <row r="1043" spans="1:6" ht="33.75" customHeight="1" x14ac:dyDescent="0.2">
      <c r="A1043" s="1" t="s">
        <v>706</v>
      </c>
      <c r="B1043" s="35" t="s">
        <v>77</v>
      </c>
      <c r="C1043" s="36" t="s">
        <v>379</v>
      </c>
      <c r="D1043" s="35">
        <v>240</v>
      </c>
      <c r="E1043" s="47">
        <f>25-25</f>
        <v>0</v>
      </c>
      <c r="F1043" s="56"/>
    </row>
    <row r="1044" spans="1:6" ht="47.25" x14ac:dyDescent="0.2">
      <c r="A1044" s="2" t="s">
        <v>233</v>
      </c>
      <c r="B1044" s="8" t="s">
        <v>77</v>
      </c>
      <c r="C1044" s="7" t="s">
        <v>514</v>
      </c>
      <c r="D1044" s="8" t="s">
        <v>0</v>
      </c>
      <c r="E1044" s="47">
        <f>E1045</f>
        <v>60</v>
      </c>
    </row>
    <row r="1045" spans="1:6" ht="31.5" x14ac:dyDescent="0.2">
      <c r="A1045" s="2" t="s">
        <v>234</v>
      </c>
      <c r="B1045" s="8" t="s">
        <v>77</v>
      </c>
      <c r="C1045" s="7" t="s">
        <v>633</v>
      </c>
      <c r="D1045" s="8" t="s">
        <v>0</v>
      </c>
      <c r="E1045" s="47">
        <f>E1046</f>
        <v>60</v>
      </c>
    </row>
    <row r="1046" spans="1:6" ht="31.5" x14ac:dyDescent="0.2">
      <c r="A1046" s="2" t="s">
        <v>234</v>
      </c>
      <c r="B1046" s="8" t="s">
        <v>77</v>
      </c>
      <c r="C1046" s="7" t="s">
        <v>633</v>
      </c>
      <c r="D1046" s="8" t="s">
        <v>0</v>
      </c>
      <c r="E1046" s="47">
        <f>E1047</f>
        <v>60</v>
      </c>
    </row>
    <row r="1047" spans="1:6" ht="51" customHeight="1" x14ac:dyDescent="0.2">
      <c r="A1047" s="2" t="s">
        <v>302</v>
      </c>
      <c r="B1047" s="8" t="s">
        <v>77</v>
      </c>
      <c r="C1047" s="7" t="s">
        <v>634</v>
      </c>
      <c r="D1047" s="8"/>
      <c r="E1047" s="47">
        <f>E1048</f>
        <v>60</v>
      </c>
    </row>
    <row r="1048" spans="1:6" x14ac:dyDescent="0.2">
      <c r="A1048" s="2" t="s">
        <v>944</v>
      </c>
      <c r="B1048" s="8" t="s">
        <v>77</v>
      </c>
      <c r="C1048" s="7" t="s">
        <v>634</v>
      </c>
      <c r="D1048" s="8">
        <v>610</v>
      </c>
      <c r="E1048" s="47">
        <v>60</v>
      </c>
    </row>
    <row r="1049" spans="1:6" ht="63" x14ac:dyDescent="0.2">
      <c r="A1049" s="2" t="s">
        <v>118</v>
      </c>
      <c r="B1049" s="8" t="s">
        <v>77</v>
      </c>
      <c r="C1049" s="7" t="s">
        <v>431</v>
      </c>
      <c r="D1049" s="8" t="s">
        <v>0</v>
      </c>
      <c r="E1049" s="47">
        <f>E1050+E1054+E1058</f>
        <v>372</v>
      </c>
    </row>
    <row r="1050" spans="1:6" ht="31.5" x14ac:dyDescent="0.2">
      <c r="A1050" s="2" t="s">
        <v>146</v>
      </c>
      <c r="B1050" s="8" t="s">
        <v>77</v>
      </c>
      <c r="C1050" s="7" t="s">
        <v>465</v>
      </c>
      <c r="D1050" s="8" t="s">
        <v>0</v>
      </c>
      <c r="E1050" s="47">
        <f>E1051</f>
        <v>115</v>
      </c>
    </row>
    <row r="1051" spans="1:6" ht="47.25" x14ac:dyDescent="0.2">
      <c r="A1051" s="2" t="s">
        <v>220</v>
      </c>
      <c r="B1051" s="8" t="s">
        <v>77</v>
      </c>
      <c r="C1051" s="7" t="s">
        <v>522</v>
      </c>
      <c r="D1051" s="8" t="s">
        <v>0</v>
      </c>
      <c r="E1051" s="47">
        <f>E1052</f>
        <v>115</v>
      </c>
    </row>
    <row r="1052" spans="1:6" ht="31.5" x14ac:dyDescent="0.2">
      <c r="A1052" s="2" t="s">
        <v>302</v>
      </c>
      <c r="B1052" s="8" t="s">
        <v>77</v>
      </c>
      <c r="C1052" s="7" t="s">
        <v>635</v>
      </c>
      <c r="D1052" s="8"/>
      <c r="E1052" s="47">
        <f>E1053</f>
        <v>115</v>
      </c>
    </row>
    <row r="1053" spans="1:6" x14ac:dyDescent="0.2">
      <c r="A1053" s="2" t="s">
        <v>944</v>
      </c>
      <c r="B1053" s="8" t="s">
        <v>77</v>
      </c>
      <c r="C1053" s="7" t="s">
        <v>635</v>
      </c>
      <c r="D1053" s="8">
        <v>610</v>
      </c>
      <c r="E1053" s="47">
        <v>115</v>
      </c>
    </row>
    <row r="1054" spans="1:6" ht="36" customHeight="1" x14ac:dyDescent="0.2">
      <c r="A1054" s="2" t="s">
        <v>119</v>
      </c>
      <c r="B1054" s="8" t="s">
        <v>77</v>
      </c>
      <c r="C1054" s="7" t="s">
        <v>432</v>
      </c>
      <c r="D1054" s="8" t="s">
        <v>0</v>
      </c>
      <c r="E1054" s="47">
        <f>E1055</f>
        <v>37</v>
      </c>
    </row>
    <row r="1055" spans="1:6" ht="31.5" x14ac:dyDescent="0.2">
      <c r="A1055" s="2" t="s">
        <v>528</v>
      </c>
      <c r="B1055" s="8" t="s">
        <v>77</v>
      </c>
      <c r="C1055" s="7" t="s">
        <v>529</v>
      </c>
      <c r="D1055" s="8" t="s">
        <v>0</v>
      </c>
      <c r="E1055" s="47">
        <f>E1056</f>
        <v>37</v>
      </c>
    </row>
    <row r="1056" spans="1:6" ht="31.5" x14ac:dyDescent="0.2">
      <c r="A1056" s="2" t="s">
        <v>302</v>
      </c>
      <c r="B1056" s="8" t="s">
        <v>77</v>
      </c>
      <c r="C1056" s="7" t="s">
        <v>636</v>
      </c>
      <c r="D1056" s="8"/>
      <c r="E1056" s="47">
        <f>E1057</f>
        <v>37</v>
      </c>
    </row>
    <row r="1057" spans="1:7" x14ac:dyDescent="0.2">
      <c r="A1057" s="2" t="s">
        <v>944</v>
      </c>
      <c r="B1057" s="8" t="s">
        <v>77</v>
      </c>
      <c r="C1057" s="7" t="s">
        <v>636</v>
      </c>
      <c r="D1057" s="8">
        <v>610</v>
      </c>
      <c r="E1057" s="47">
        <v>37</v>
      </c>
    </row>
    <row r="1058" spans="1:7" ht="47.25" x14ac:dyDescent="0.2">
      <c r="A1058" s="2" t="s">
        <v>148</v>
      </c>
      <c r="B1058" s="8" t="s">
        <v>77</v>
      </c>
      <c r="C1058" s="7" t="s">
        <v>469</v>
      </c>
      <c r="D1058" s="8" t="s">
        <v>0</v>
      </c>
      <c r="E1058" s="47">
        <f>E1059</f>
        <v>220</v>
      </c>
    </row>
    <row r="1059" spans="1:7" ht="141.75" x14ac:dyDescent="0.2">
      <c r="A1059" s="11" t="s">
        <v>464</v>
      </c>
      <c r="B1059" s="8" t="s">
        <v>77</v>
      </c>
      <c r="C1059" s="7" t="s">
        <v>470</v>
      </c>
      <c r="D1059" s="8" t="s">
        <v>0</v>
      </c>
      <c r="E1059" s="47">
        <f>E1060</f>
        <v>220</v>
      </c>
    </row>
    <row r="1060" spans="1:7" ht="31.5" x14ac:dyDescent="0.2">
      <c r="A1060" s="2" t="s">
        <v>302</v>
      </c>
      <c r="B1060" s="8" t="s">
        <v>77</v>
      </c>
      <c r="C1060" s="7" t="s">
        <v>471</v>
      </c>
      <c r="D1060" s="8"/>
      <c r="E1060" s="47">
        <f>E1061</f>
        <v>220</v>
      </c>
    </row>
    <row r="1061" spans="1:7" x14ac:dyDescent="0.2">
      <c r="A1061" s="2" t="s">
        <v>944</v>
      </c>
      <c r="B1061" s="8" t="s">
        <v>77</v>
      </c>
      <c r="C1061" s="7" t="s">
        <v>471</v>
      </c>
      <c r="D1061" s="8">
        <v>610</v>
      </c>
      <c r="E1061" s="47">
        <v>220</v>
      </c>
    </row>
    <row r="1062" spans="1:7" ht="31.5" x14ac:dyDescent="0.2">
      <c r="A1062" s="2" t="s">
        <v>129</v>
      </c>
      <c r="B1062" s="8" t="s">
        <v>77</v>
      </c>
      <c r="C1062" s="7" t="s">
        <v>290</v>
      </c>
      <c r="D1062" s="8" t="s">
        <v>0</v>
      </c>
      <c r="E1062" s="47">
        <f>E1063+E1066+E1071</f>
        <v>88269.1</v>
      </c>
    </row>
    <row r="1063" spans="1:7" ht="31.5" x14ac:dyDescent="0.2">
      <c r="A1063" s="2" t="s">
        <v>232</v>
      </c>
      <c r="B1063" s="8" t="s">
        <v>77</v>
      </c>
      <c r="C1063" s="7" t="s">
        <v>639</v>
      </c>
      <c r="D1063" s="8" t="s">
        <v>0</v>
      </c>
      <c r="E1063" s="47">
        <f>E1064</f>
        <v>400</v>
      </c>
    </row>
    <row r="1064" spans="1:7" ht="31.5" x14ac:dyDescent="0.2">
      <c r="A1064" s="39" t="s">
        <v>653</v>
      </c>
      <c r="B1064" s="8" t="s">
        <v>77</v>
      </c>
      <c r="C1064" s="7" t="s">
        <v>640</v>
      </c>
      <c r="D1064" s="8"/>
      <c r="E1064" s="47">
        <f>E1065</f>
        <v>400</v>
      </c>
    </row>
    <row r="1065" spans="1:7" ht="31.5" x14ac:dyDescent="0.2">
      <c r="A1065" s="1" t="s">
        <v>706</v>
      </c>
      <c r="B1065" s="8" t="s">
        <v>77</v>
      </c>
      <c r="C1065" s="7" t="s">
        <v>640</v>
      </c>
      <c r="D1065" s="8">
        <v>240</v>
      </c>
      <c r="E1065" s="47">
        <v>400</v>
      </c>
    </row>
    <row r="1066" spans="1:7" ht="63" x14ac:dyDescent="0.2">
      <c r="A1066" s="92" t="s">
        <v>1086</v>
      </c>
      <c r="B1066" s="7" t="s">
        <v>77</v>
      </c>
      <c r="C1066" s="7" t="s">
        <v>898</v>
      </c>
      <c r="D1066" s="8"/>
      <c r="E1066" s="47">
        <f>E1067+E1069</f>
        <v>61133.8</v>
      </c>
    </row>
    <row r="1067" spans="1:7" ht="63" x14ac:dyDescent="0.2">
      <c r="A1067" s="72" t="s">
        <v>899</v>
      </c>
      <c r="B1067" s="8" t="s">
        <v>77</v>
      </c>
      <c r="C1067" s="7" t="s">
        <v>837</v>
      </c>
      <c r="D1067" s="8"/>
      <c r="E1067" s="47">
        <f>E1068</f>
        <v>54843.8</v>
      </c>
      <c r="F1067" s="122"/>
    </row>
    <row r="1068" spans="1:7" ht="31.5" x14ac:dyDescent="0.2">
      <c r="A1068" s="72" t="s">
        <v>101</v>
      </c>
      <c r="B1068" s="8" t="s">
        <v>77</v>
      </c>
      <c r="C1068" s="7" t="s">
        <v>837</v>
      </c>
      <c r="D1068" s="8">
        <v>630</v>
      </c>
      <c r="E1068" s="47">
        <f>13133.8-3290+45000</f>
        <v>54843.8</v>
      </c>
      <c r="F1068" s="117"/>
      <c r="G1068" s="125"/>
    </row>
    <row r="1069" spans="1:7" ht="47.25" x14ac:dyDescent="0.2">
      <c r="A1069" s="94" t="s">
        <v>900</v>
      </c>
      <c r="B1069" s="8" t="s">
        <v>77</v>
      </c>
      <c r="C1069" s="7" t="s">
        <v>897</v>
      </c>
      <c r="D1069" s="8"/>
      <c r="E1069" s="47">
        <f>E1070</f>
        <v>6290</v>
      </c>
      <c r="F1069" s="111"/>
    </row>
    <row r="1070" spans="1:7" ht="31.5" x14ac:dyDescent="0.2">
      <c r="A1070" s="95" t="s">
        <v>101</v>
      </c>
      <c r="B1070" s="8" t="s">
        <v>77</v>
      </c>
      <c r="C1070" s="7" t="s">
        <v>897</v>
      </c>
      <c r="D1070" s="8">
        <v>630</v>
      </c>
      <c r="E1070" s="47">
        <f>3000+3290</f>
        <v>6290</v>
      </c>
      <c r="F1070" s="111"/>
      <c r="G1070" s="126"/>
    </row>
    <row r="1071" spans="1:7" ht="47.25" x14ac:dyDescent="0.2">
      <c r="A1071" s="96" t="s">
        <v>904</v>
      </c>
      <c r="B1071" s="8" t="s">
        <v>77</v>
      </c>
      <c r="C1071" s="7" t="s">
        <v>902</v>
      </c>
      <c r="D1071" s="8"/>
      <c r="E1071" s="47">
        <f>E1072</f>
        <v>26735.3</v>
      </c>
      <c r="F1071" s="111"/>
    </row>
    <row r="1072" spans="1:7" ht="31.5" x14ac:dyDescent="0.2">
      <c r="A1072" s="2" t="s">
        <v>302</v>
      </c>
      <c r="B1072" s="8" t="s">
        <v>77</v>
      </c>
      <c r="C1072" s="7" t="s">
        <v>903</v>
      </c>
      <c r="D1072" s="8"/>
      <c r="E1072" s="47">
        <f>E1073+E1074+E1075</f>
        <v>26735.3</v>
      </c>
      <c r="F1072" s="111"/>
    </row>
    <row r="1073" spans="1:6" x14ac:dyDescent="0.2">
      <c r="A1073" s="2" t="s">
        <v>711</v>
      </c>
      <c r="B1073" s="8" t="s">
        <v>77</v>
      </c>
      <c r="C1073" s="7" t="s">
        <v>903</v>
      </c>
      <c r="D1073" s="8">
        <v>110</v>
      </c>
      <c r="E1073" s="47">
        <f>24345.3+904.8</f>
        <v>25250.1</v>
      </c>
      <c r="F1073" s="105"/>
    </row>
    <row r="1074" spans="1:6" ht="31.5" x14ac:dyDescent="0.2">
      <c r="A1074" s="1" t="s">
        <v>706</v>
      </c>
      <c r="B1074" s="8" t="s">
        <v>77</v>
      </c>
      <c r="C1074" s="7" t="s">
        <v>903</v>
      </c>
      <c r="D1074" s="8">
        <v>240</v>
      </c>
      <c r="E1074" s="47">
        <v>1463.2</v>
      </c>
      <c r="F1074" s="105"/>
    </row>
    <row r="1075" spans="1:6" x14ac:dyDescent="0.2">
      <c r="A1075" s="2" t="s">
        <v>712</v>
      </c>
      <c r="B1075" s="8" t="s">
        <v>77</v>
      </c>
      <c r="C1075" s="7" t="s">
        <v>903</v>
      </c>
      <c r="D1075" s="8">
        <v>850</v>
      </c>
      <c r="E1075" s="47">
        <v>22</v>
      </c>
      <c r="F1075" s="105"/>
    </row>
    <row r="1076" spans="1:6" ht="31.5" x14ac:dyDescent="0.2">
      <c r="A1076" s="2" t="s">
        <v>110</v>
      </c>
      <c r="B1076" s="8" t="s">
        <v>77</v>
      </c>
      <c r="C1076" s="7" t="s">
        <v>344</v>
      </c>
      <c r="D1076" s="8" t="s">
        <v>0</v>
      </c>
      <c r="E1076" s="47">
        <f>E1077</f>
        <v>30084.3</v>
      </c>
    </row>
    <row r="1077" spans="1:6" ht="31.5" x14ac:dyDescent="0.2">
      <c r="A1077" s="2" t="s">
        <v>495</v>
      </c>
      <c r="B1077" s="7" t="s">
        <v>77</v>
      </c>
      <c r="C1077" s="7" t="s">
        <v>492</v>
      </c>
      <c r="D1077" s="8"/>
      <c r="E1077" s="47">
        <f>E1078</f>
        <v>30084.3</v>
      </c>
    </row>
    <row r="1078" spans="1:6" x14ac:dyDescent="0.2">
      <c r="A1078" s="2" t="s">
        <v>9</v>
      </c>
      <c r="B1078" s="8" t="s">
        <v>77</v>
      </c>
      <c r="C1078" s="7" t="s">
        <v>493</v>
      </c>
      <c r="D1078" s="8"/>
      <c r="E1078" s="47">
        <f>E1079</f>
        <v>30084.3</v>
      </c>
    </row>
    <row r="1079" spans="1:6" x14ac:dyDescent="0.2">
      <c r="A1079" s="2" t="s">
        <v>749</v>
      </c>
      <c r="B1079" s="8" t="s">
        <v>77</v>
      </c>
      <c r="C1079" s="7" t="s">
        <v>494</v>
      </c>
      <c r="D1079" s="8"/>
      <c r="E1079" s="47">
        <f>E1080</f>
        <v>30084.3</v>
      </c>
    </row>
    <row r="1080" spans="1:6" ht="33" customHeight="1" x14ac:dyDescent="0.2">
      <c r="A1080" s="2" t="s">
        <v>710</v>
      </c>
      <c r="B1080" s="8" t="s">
        <v>77</v>
      </c>
      <c r="C1080" s="7" t="s">
        <v>494</v>
      </c>
      <c r="D1080" s="8">
        <v>120</v>
      </c>
      <c r="E1080" s="47">
        <f>29040+1044.3</f>
        <v>30084.3</v>
      </c>
      <c r="F1080" s="82"/>
    </row>
    <row r="1081" spans="1:6" x14ac:dyDescent="0.2">
      <c r="A1081" s="16" t="s">
        <v>78</v>
      </c>
      <c r="B1081" s="224" t="s">
        <v>79</v>
      </c>
      <c r="C1081" s="224" t="s">
        <v>0</v>
      </c>
      <c r="D1081" s="224" t="s">
        <v>0</v>
      </c>
      <c r="E1081" s="225">
        <f>E1082+E1087+E1231+E1248</f>
        <v>1312570.5</v>
      </c>
    </row>
    <row r="1082" spans="1:6" x14ac:dyDescent="0.2">
      <c r="A1082" s="20" t="s">
        <v>80</v>
      </c>
      <c r="B1082" s="18" t="s">
        <v>81</v>
      </c>
      <c r="C1082" s="15" t="s">
        <v>0</v>
      </c>
      <c r="D1082" s="18" t="s">
        <v>0</v>
      </c>
      <c r="E1082" s="182">
        <f>E1083</f>
        <v>63550</v>
      </c>
    </row>
    <row r="1083" spans="1:6" ht="31.5" x14ac:dyDescent="0.2">
      <c r="A1083" s="11" t="s">
        <v>124</v>
      </c>
      <c r="B1083" s="8" t="s">
        <v>81</v>
      </c>
      <c r="C1083" s="7" t="s">
        <v>310</v>
      </c>
      <c r="D1083" s="8" t="s">
        <v>0</v>
      </c>
      <c r="E1083" s="47">
        <f>SUM(E1085)</f>
        <v>63550</v>
      </c>
    </row>
    <row r="1084" spans="1:6" ht="31.5" x14ac:dyDescent="0.2">
      <c r="A1084" s="11" t="s">
        <v>235</v>
      </c>
      <c r="B1084" s="8" t="s">
        <v>81</v>
      </c>
      <c r="C1084" s="7" t="s">
        <v>443</v>
      </c>
      <c r="D1084" s="8" t="s">
        <v>0</v>
      </c>
      <c r="E1084" s="47">
        <f>E1085</f>
        <v>63550</v>
      </c>
    </row>
    <row r="1085" spans="1:6" ht="19.5" customHeight="1" x14ac:dyDescent="0.2">
      <c r="A1085" s="11" t="s">
        <v>235</v>
      </c>
      <c r="B1085" s="8" t="s">
        <v>81</v>
      </c>
      <c r="C1085" s="7" t="s">
        <v>442</v>
      </c>
      <c r="D1085" s="8"/>
      <c r="E1085" s="47">
        <f>E1086</f>
        <v>63550</v>
      </c>
    </row>
    <row r="1086" spans="1:6" x14ac:dyDescent="0.2">
      <c r="A1086" s="11" t="s">
        <v>714</v>
      </c>
      <c r="B1086" s="8" t="s">
        <v>81</v>
      </c>
      <c r="C1086" s="7" t="s">
        <v>442</v>
      </c>
      <c r="D1086" s="8">
        <v>310</v>
      </c>
      <c r="E1086" s="188">
        <v>63550</v>
      </c>
      <c r="F1086" s="132"/>
    </row>
    <row r="1087" spans="1:6" x14ac:dyDescent="0.2">
      <c r="A1087" s="20" t="s">
        <v>82</v>
      </c>
      <c r="B1087" s="18" t="s">
        <v>83</v>
      </c>
      <c r="C1087" s="15" t="s">
        <v>0</v>
      </c>
      <c r="D1087" s="18" t="s">
        <v>0</v>
      </c>
      <c r="E1087" s="182">
        <f>E1088+E1126+E1134+E1151+E1211+E1207+E1223+E1228+E1121</f>
        <v>706557.10000000009</v>
      </c>
    </row>
    <row r="1088" spans="1:6" ht="31.5" x14ac:dyDescent="0.2">
      <c r="A1088" s="11" t="s">
        <v>149</v>
      </c>
      <c r="B1088" s="8" t="s">
        <v>83</v>
      </c>
      <c r="C1088" s="24" t="s">
        <v>288</v>
      </c>
      <c r="D1088" s="8" t="s">
        <v>0</v>
      </c>
      <c r="E1088" s="47">
        <f>E1093+E1089+E1111</f>
        <v>256439.9</v>
      </c>
    </row>
    <row r="1089" spans="1:7" ht="31.5" x14ac:dyDescent="0.2">
      <c r="A1089" s="39" t="s">
        <v>211</v>
      </c>
      <c r="B1089" s="8" t="s">
        <v>83</v>
      </c>
      <c r="C1089" s="24" t="s">
        <v>418</v>
      </c>
      <c r="D1089" s="8"/>
      <c r="E1089" s="47">
        <f>E1090</f>
        <v>69</v>
      </c>
    </row>
    <row r="1090" spans="1:7" x14ac:dyDescent="0.2">
      <c r="A1090" s="39" t="s">
        <v>774</v>
      </c>
      <c r="B1090" s="8" t="s">
        <v>83</v>
      </c>
      <c r="C1090" s="24" t="s">
        <v>776</v>
      </c>
      <c r="D1090" s="8"/>
      <c r="E1090" s="47">
        <f>E1091</f>
        <v>69</v>
      </c>
    </row>
    <row r="1091" spans="1:7" ht="31.5" x14ac:dyDescent="0.2">
      <c r="A1091" s="37" t="s">
        <v>775</v>
      </c>
      <c r="B1091" s="8" t="s">
        <v>83</v>
      </c>
      <c r="C1091" s="24" t="s">
        <v>777</v>
      </c>
      <c r="D1091" s="8"/>
      <c r="E1091" s="47">
        <f>E1092</f>
        <v>69</v>
      </c>
    </row>
    <row r="1092" spans="1:7" x14ac:dyDescent="0.2">
      <c r="A1092" s="39" t="s">
        <v>714</v>
      </c>
      <c r="B1092" s="8" t="s">
        <v>83</v>
      </c>
      <c r="C1092" s="24" t="s">
        <v>777</v>
      </c>
      <c r="D1092" s="8">
        <v>310</v>
      </c>
      <c r="E1092" s="47">
        <f>69</f>
        <v>69</v>
      </c>
      <c r="F1092" s="110"/>
    </row>
    <row r="1093" spans="1:7" x14ac:dyDescent="0.2">
      <c r="A1093" s="11" t="s">
        <v>205</v>
      </c>
      <c r="B1093" s="8" t="s">
        <v>83</v>
      </c>
      <c r="C1093" s="24" t="s">
        <v>373</v>
      </c>
      <c r="D1093" s="8" t="s">
        <v>0</v>
      </c>
      <c r="E1093" s="47">
        <f>E1094</f>
        <v>15483.099999999999</v>
      </c>
    </row>
    <row r="1094" spans="1:7" x14ac:dyDescent="0.2">
      <c r="A1094" s="11" t="s">
        <v>236</v>
      </c>
      <c r="B1094" s="8" t="s">
        <v>83</v>
      </c>
      <c r="C1094" s="24" t="s">
        <v>438</v>
      </c>
      <c r="D1094" s="8" t="s">
        <v>0</v>
      </c>
      <c r="E1094" s="47">
        <f>E1095+E1100+E1104+E1097+E1108</f>
        <v>15483.099999999999</v>
      </c>
    </row>
    <row r="1095" spans="1:7" x14ac:dyDescent="0.2">
      <c r="A1095" s="41" t="s">
        <v>439</v>
      </c>
      <c r="B1095" s="23" t="s">
        <v>83</v>
      </c>
      <c r="C1095" s="24" t="s">
        <v>440</v>
      </c>
      <c r="D1095" s="8"/>
      <c r="E1095" s="47">
        <f>E1096</f>
        <v>103</v>
      </c>
    </row>
    <row r="1096" spans="1:7" x14ac:dyDescent="0.2">
      <c r="A1096" s="11" t="s">
        <v>714</v>
      </c>
      <c r="B1096" s="8" t="s">
        <v>83</v>
      </c>
      <c r="C1096" s="24" t="s">
        <v>440</v>
      </c>
      <c r="D1096" s="8">
        <v>310</v>
      </c>
      <c r="E1096" s="47">
        <f>103</f>
        <v>103</v>
      </c>
    </row>
    <row r="1097" spans="1:7" ht="63" x14ac:dyDescent="0.2">
      <c r="A1097" s="11" t="s">
        <v>237</v>
      </c>
      <c r="B1097" s="8" t="s">
        <v>83</v>
      </c>
      <c r="C1097" s="24" t="s">
        <v>441</v>
      </c>
      <c r="D1097" s="8" t="s">
        <v>0</v>
      </c>
      <c r="E1097" s="47">
        <f>E1098+E1099</f>
        <v>1002.9</v>
      </c>
    </row>
    <row r="1098" spans="1:7" x14ac:dyDescent="0.2">
      <c r="A1098" s="2" t="s">
        <v>944</v>
      </c>
      <c r="B1098" s="8" t="s">
        <v>83</v>
      </c>
      <c r="C1098" s="24" t="s">
        <v>441</v>
      </c>
      <c r="D1098" s="8">
        <v>610</v>
      </c>
      <c r="E1098" s="200">
        <v>502.9</v>
      </c>
      <c r="F1098" s="129"/>
    </row>
    <row r="1099" spans="1:7" x14ac:dyDescent="0.2">
      <c r="A1099" s="2" t="s">
        <v>945</v>
      </c>
      <c r="B1099" s="8" t="s">
        <v>83</v>
      </c>
      <c r="C1099" s="24" t="s">
        <v>441</v>
      </c>
      <c r="D1099" s="8">
        <v>620</v>
      </c>
      <c r="E1099" s="200">
        <v>500</v>
      </c>
      <c r="F1099" s="129"/>
    </row>
    <row r="1100" spans="1:7" ht="47.25" x14ac:dyDescent="0.2">
      <c r="A1100" s="11" t="s">
        <v>811</v>
      </c>
      <c r="B1100" s="8" t="s">
        <v>83</v>
      </c>
      <c r="C1100" s="7" t="s">
        <v>704</v>
      </c>
      <c r="D1100" s="8"/>
      <c r="E1100" s="170">
        <f>E1102+E1103+E1101</f>
        <v>5034.6000000000004</v>
      </c>
    </row>
    <row r="1101" spans="1:7" ht="31.5" x14ac:dyDescent="0.2">
      <c r="A1101" s="11" t="s">
        <v>713</v>
      </c>
      <c r="B1101" s="8" t="s">
        <v>83</v>
      </c>
      <c r="C1101" s="7" t="s">
        <v>704</v>
      </c>
      <c r="D1101" s="8">
        <v>320</v>
      </c>
      <c r="E1101" s="170">
        <v>174.5</v>
      </c>
    </row>
    <row r="1102" spans="1:7" x14ac:dyDescent="0.2">
      <c r="A1102" s="2" t="s">
        <v>944</v>
      </c>
      <c r="B1102" s="8" t="s">
        <v>83</v>
      </c>
      <c r="C1102" s="7" t="s">
        <v>704</v>
      </c>
      <c r="D1102" s="8">
        <v>610</v>
      </c>
      <c r="E1102" s="170">
        <v>1075</v>
      </c>
      <c r="F1102" s="129"/>
      <c r="G1102" s="134"/>
    </row>
    <row r="1103" spans="1:7" x14ac:dyDescent="0.2">
      <c r="A1103" s="2" t="s">
        <v>945</v>
      </c>
      <c r="B1103" s="8" t="s">
        <v>83</v>
      </c>
      <c r="C1103" s="7" t="s">
        <v>704</v>
      </c>
      <c r="D1103" s="8">
        <v>620</v>
      </c>
      <c r="E1103" s="170">
        <v>3785.1</v>
      </c>
      <c r="F1103" s="129"/>
      <c r="G1103" s="134"/>
    </row>
    <row r="1104" spans="1:7" ht="47.25" x14ac:dyDescent="0.2">
      <c r="A1104" s="11" t="s">
        <v>695</v>
      </c>
      <c r="B1104" s="8" t="s">
        <v>83</v>
      </c>
      <c r="C1104" s="7" t="s">
        <v>705</v>
      </c>
      <c r="D1104" s="8"/>
      <c r="E1104" s="170">
        <f>E1105+E1106+E1107</f>
        <v>2826.9</v>
      </c>
    </row>
    <row r="1105" spans="1:7" ht="31.5" x14ac:dyDescent="0.2">
      <c r="A1105" s="11" t="s">
        <v>713</v>
      </c>
      <c r="B1105" s="8" t="s">
        <v>83</v>
      </c>
      <c r="C1105" s="7" t="s">
        <v>705</v>
      </c>
      <c r="D1105" s="8">
        <v>320</v>
      </c>
      <c r="E1105" s="200">
        <v>30.5</v>
      </c>
    </row>
    <row r="1106" spans="1:7" x14ac:dyDescent="0.2">
      <c r="A1106" s="2" t="s">
        <v>944</v>
      </c>
      <c r="B1106" s="8" t="s">
        <v>83</v>
      </c>
      <c r="C1106" s="7" t="s">
        <v>705</v>
      </c>
      <c r="D1106" s="8">
        <v>610</v>
      </c>
      <c r="E1106" s="200">
        <v>1400</v>
      </c>
      <c r="F1106" s="129"/>
      <c r="G1106" s="134"/>
    </row>
    <row r="1107" spans="1:7" x14ac:dyDescent="0.2">
      <c r="A1107" s="2" t="s">
        <v>945</v>
      </c>
      <c r="B1107" s="8" t="s">
        <v>83</v>
      </c>
      <c r="C1107" s="7" t="s">
        <v>705</v>
      </c>
      <c r="D1107" s="8">
        <v>620</v>
      </c>
      <c r="E1107" s="200">
        <v>1396.4</v>
      </c>
      <c r="F1107" s="129"/>
      <c r="G1107" s="134"/>
    </row>
    <row r="1108" spans="1:7" ht="63" x14ac:dyDescent="0.2">
      <c r="A1108" s="39" t="s">
        <v>700</v>
      </c>
      <c r="B1108" s="8" t="s">
        <v>83</v>
      </c>
      <c r="C1108" s="36" t="s">
        <v>728</v>
      </c>
      <c r="D1108" s="35"/>
      <c r="E1108" s="170">
        <f>E1109+E1110</f>
        <v>6515.7</v>
      </c>
    </row>
    <row r="1109" spans="1:7" x14ac:dyDescent="0.2">
      <c r="A1109" s="2" t="s">
        <v>944</v>
      </c>
      <c r="B1109" s="8" t="s">
        <v>83</v>
      </c>
      <c r="C1109" s="36" t="s">
        <v>728</v>
      </c>
      <c r="D1109" s="8">
        <v>610</v>
      </c>
      <c r="E1109" s="200">
        <v>3613.1</v>
      </c>
      <c r="F1109" s="129"/>
      <c r="G1109" s="134"/>
    </row>
    <row r="1110" spans="1:7" x14ac:dyDescent="0.2">
      <c r="A1110" s="2" t="s">
        <v>945</v>
      </c>
      <c r="B1110" s="8" t="s">
        <v>83</v>
      </c>
      <c r="C1110" s="36" t="s">
        <v>728</v>
      </c>
      <c r="D1110" s="8">
        <v>620</v>
      </c>
      <c r="E1110" s="200">
        <v>2902.6</v>
      </c>
      <c r="F1110" s="129"/>
      <c r="G1110" s="134"/>
    </row>
    <row r="1111" spans="1:7" x14ac:dyDescent="0.2">
      <c r="A1111" s="39" t="s">
        <v>207</v>
      </c>
      <c r="B1111" s="190" t="s">
        <v>83</v>
      </c>
      <c r="C1111" s="183" t="s">
        <v>421</v>
      </c>
      <c r="D1111" s="35"/>
      <c r="E1111" s="170">
        <f>E1112</f>
        <v>240887.8</v>
      </c>
      <c r="F1111" s="129"/>
      <c r="G1111" s="134"/>
    </row>
    <row r="1112" spans="1:7" ht="31.5" x14ac:dyDescent="0.2">
      <c r="A1112" s="39" t="s">
        <v>208</v>
      </c>
      <c r="B1112" s="190" t="s">
        <v>83</v>
      </c>
      <c r="C1112" s="183" t="s">
        <v>428</v>
      </c>
      <c r="D1112" s="190" t="s">
        <v>0</v>
      </c>
      <c r="E1112" s="170">
        <f>E1113+E1117</f>
        <v>240887.8</v>
      </c>
      <c r="F1112" s="129"/>
      <c r="G1112" s="134"/>
    </row>
    <row r="1113" spans="1:7" ht="31.5" x14ac:dyDescent="0.2">
      <c r="A1113" s="39" t="s">
        <v>302</v>
      </c>
      <c r="B1113" s="190" t="s">
        <v>83</v>
      </c>
      <c r="C1113" s="183" t="s">
        <v>588</v>
      </c>
      <c r="D1113" s="190"/>
      <c r="E1113" s="170">
        <f>E1114+E1115+E1116</f>
        <v>50000</v>
      </c>
      <c r="F1113" s="129"/>
      <c r="G1113" s="134"/>
    </row>
    <row r="1114" spans="1:7" ht="31.5" x14ac:dyDescent="0.2">
      <c r="A1114" s="1" t="s">
        <v>706</v>
      </c>
      <c r="B1114" s="190" t="s">
        <v>83</v>
      </c>
      <c r="C1114" s="183" t="s">
        <v>588</v>
      </c>
      <c r="D1114" s="190">
        <v>240</v>
      </c>
      <c r="E1114" s="170">
        <f>36</f>
        <v>36</v>
      </c>
      <c r="F1114" s="129"/>
      <c r="G1114" s="134"/>
    </row>
    <row r="1115" spans="1:7" x14ac:dyDescent="0.2">
      <c r="A1115" s="39" t="s">
        <v>944</v>
      </c>
      <c r="B1115" s="190" t="s">
        <v>83</v>
      </c>
      <c r="C1115" s="183" t="s">
        <v>588</v>
      </c>
      <c r="D1115" s="190">
        <v>610</v>
      </c>
      <c r="E1115" s="170">
        <f>17848</f>
        <v>17848</v>
      </c>
      <c r="F1115" s="129"/>
      <c r="G1115" s="134"/>
    </row>
    <row r="1116" spans="1:7" x14ac:dyDescent="0.2">
      <c r="A1116" s="39" t="s">
        <v>956</v>
      </c>
      <c r="B1116" s="190" t="s">
        <v>83</v>
      </c>
      <c r="C1116" s="183" t="s">
        <v>588</v>
      </c>
      <c r="D1116" s="190">
        <v>620</v>
      </c>
      <c r="E1116" s="170">
        <f>32116</f>
        <v>32116</v>
      </c>
      <c r="F1116" s="129"/>
      <c r="G1116" s="134"/>
    </row>
    <row r="1117" spans="1:7" ht="78.75" x14ac:dyDescent="0.2">
      <c r="A1117" s="41" t="s">
        <v>702</v>
      </c>
      <c r="B1117" s="191" t="s">
        <v>83</v>
      </c>
      <c r="C1117" s="98" t="s">
        <v>643</v>
      </c>
      <c r="D1117" s="192" t="s">
        <v>0</v>
      </c>
      <c r="E1117" s="47">
        <f>E1118+E1119+E1120</f>
        <v>190887.8</v>
      </c>
      <c r="F1117" s="129"/>
      <c r="G1117" s="134"/>
    </row>
    <row r="1118" spans="1:7" x14ac:dyDescent="0.2">
      <c r="A1118" s="2" t="s">
        <v>944</v>
      </c>
      <c r="B1118" s="191" t="s">
        <v>83</v>
      </c>
      <c r="C1118" s="98" t="s">
        <v>643</v>
      </c>
      <c r="D1118" s="8">
        <v>610</v>
      </c>
      <c r="E1118" s="199">
        <v>68916.5</v>
      </c>
      <c r="F1118" s="129"/>
      <c r="G1118" s="134"/>
    </row>
    <row r="1119" spans="1:7" x14ac:dyDescent="0.2">
      <c r="A1119" s="2" t="s">
        <v>945</v>
      </c>
      <c r="B1119" s="191" t="s">
        <v>83</v>
      </c>
      <c r="C1119" s="98" t="s">
        <v>643</v>
      </c>
      <c r="D1119" s="8">
        <v>620</v>
      </c>
      <c r="E1119" s="199">
        <v>121863.3</v>
      </c>
      <c r="F1119" s="129"/>
      <c r="G1119" s="134"/>
    </row>
    <row r="1120" spans="1:7" ht="31.5" x14ac:dyDescent="0.2">
      <c r="A1120" s="1" t="s">
        <v>706</v>
      </c>
      <c r="B1120" s="191" t="s">
        <v>83</v>
      </c>
      <c r="C1120" s="99" t="s">
        <v>643</v>
      </c>
      <c r="D1120" s="191">
        <v>240</v>
      </c>
      <c r="E1120" s="199">
        <v>108</v>
      </c>
      <c r="F1120" s="129"/>
      <c r="G1120" s="134"/>
    </row>
    <row r="1121" spans="1:8" ht="47.25" x14ac:dyDescent="0.2">
      <c r="A1121" s="2" t="s">
        <v>144</v>
      </c>
      <c r="B1121" s="196" t="s">
        <v>83</v>
      </c>
      <c r="C1121" s="36" t="s">
        <v>294</v>
      </c>
      <c r="D1121" s="196"/>
      <c r="E1121" s="194">
        <f>E1122</f>
        <v>279.60000000000002</v>
      </c>
      <c r="F1121" s="228"/>
      <c r="G1121" s="236"/>
    </row>
    <row r="1122" spans="1:8" ht="47.25" x14ac:dyDescent="0.2">
      <c r="A1122" s="2" t="s">
        <v>145</v>
      </c>
      <c r="B1122" s="196" t="s">
        <v>83</v>
      </c>
      <c r="C1122" s="36" t="s">
        <v>298</v>
      </c>
      <c r="D1122" s="196"/>
      <c r="E1122" s="194">
        <f>E1123</f>
        <v>279.60000000000002</v>
      </c>
      <c r="F1122" s="228"/>
      <c r="G1122" s="236"/>
    </row>
    <row r="1123" spans="1:8" x14ac:dyDescent="0.2">
      <c r="A1123" s="39" t="s">
        <v>349</v>
      </c>
      <c r="B1123" s="196" t="s">
        <v>83</v>
      </c>
      <c r="C1123" s="36" t="s">
        <v>350</v>
      </c>
      <c r="D1123" s="196"/>
      <c r="E1123" s="194">
        <f>E1124</f>
        <v>279.60000000000002</v>
      </c>
      <c r="F1123" s="228"/>
      <c r="G1123" s="236"/>
    </row>
    <row r="1124" spans="1:8" ht="31.5" x14ac:dyDescent="0.2">
      <c r="A1124" s="39" t="s">
        <v>812</v>
      </c>
      <c r="B1124" s="196" t="s">
        <v>83</v>
      </c>
      <c r="C1124" s="36" t="s">
        <v>1049</v>
      </c>
      <c r="D1124" s="237"/>
      <c r="E1124" s="194">
        <f>E1125</f>
        <v>279.60000000000002</v>
      </c>
      <c r="F1124" s="228"/>
      <c r="G1124" s="236"/>
    </row>
    <row r="1125" spans="1:8" x14ac:dyDescent="0.2">
      <c r="A1125" s="39" t="s">
        <v>714</v>
      </c>
      <c r="B1125" s="196" t="s">
        <v>83</v>
      </c>
      <c r="C1125" s="36" t="s">
        <v>1049</v>
      </c>
      <c r="D1125" s="237">
        <v>310</v>
      </c>
      <c r="E1125" s="194">
        <v>279.60000000000002</v>
      </c>
      <c r="F1125" s="238"/>
      <c r="G1125" s="236"/>
    </row>
    <row r="1126" spans="1:8" ht="31.5" x14ac:dyDescent="0.2">
      <c r="A1126" s="11" t="s">
        <v>188</v>
      </c>
      <c r="B1126" s="8" t="s">
        <v>83</v>
      </c>
      <c r="C1126" s="7" t="s">
        <v>279</v>
      </c>
      <c r="D1126" s="8" t="s">
        <v>0</v>
      </c>
      <c r="E1126" s="47">
        <f>E1127</f>
        <v>25623</v>
      </c>
    </row>
    <row r="1127" spans="1:8" x14ac:dyDescent="0.2">
      <c r="A1127" s="11" t="s">
        <v>238</v>
      </c>
      <c r="B1127" s="8" t="s">
        <v>83</v>
      </c>
      <c r="C1127" s="7" t="s">
        <v>517</v>
      </c>
      <c r="D1127" s="8" t="s">
        <v>0</v>
      </c>
      <c r="E1127" s="47">
        <f>E1128+E1132+E1130</f>
        <v>25623</v>
      </c>
    </row>
    <row r="1128" spans="1:8" x14ac:dyDescent="0.2">
      <c r="A1128" s="11" t="s">
        <v>238</v>
      </c>
      <c r="B1128" s="8" t="s">
        <v>83</v>
      </c>
      <c r="C1128" s="7" t="s">
        <v>518</v>
      </c>
      <c r="D1128" s="8"/>
      <c r="E1128" s="47">
        <f>E1129</f>
        <v>2500</v>
      </c>
    </row>
    <row r="1129" spans="1:8" x14ac:dyDescent="0.2">
      <c r="A1129" s="11" t="s">
        <v>714</v>
      </c>
      <c r="B1129" s="8" t="s">
        <v>83</v>
      </c>
      <c r="C1129" s="7" t="s">
        <v>518</v>
      </c>
      <c r="D1129" s="8">
        <v>310</v>
      </c>
      <c r="E1129" s="47">
        <v>2500</v>
      </c>
    </row>
    <row r="1130" spans="1:8" ht="31.5" x14ac:dyDescent="0.2">
      <c r="A1130" s="39" t="s">
        <v>795</v>
      </c>
      <c r="B1130" s="35" t="s">
        <v>83</v>
      </c>
      <c r="C1130" s="36" t="s">
        <v>794</v>
      </c>
      <c r="D1130" s="35" t="s">
        <v>0</v>
      </c>
      <c r="E1130" s="47">
        <f>E1131</f>
        <v>22963.200000000001</v>
      </c>
    </row>
    <row r="1131" spans="1:8" ht="31.5" x14ac:dyDescent="0.2">
      <c r="A1131" s="39" t="s">
        <v>713</v>
      </c>
      <c r="B1131" s="35" t="s">
        <v>83</v>
      </c>
      <c r="C1131" s="36" t="s">
        <v>794</v>
      </c>
      <c r="D1131" s="35">
        <v>320</v>
      </c>
      <c r="E1131" s="47">
        <v>22963.200000000001</v>
      </c>
      <c r="F1131" s="122"/>
      <c r="G1131" s="123"/>
      <c r="H1131" s="73"/>
    </row>
    <row r="1132" spans="1:8" ht="31.5" x14ac:dyDescent="0.2">
      <c r="A1132" s="11" t="s">
        <v>532</v>
      </c>
      <c r="B1132" s="8" t="s">
        <v>83</v>
      </c>
      <c r="C1132" s="7" t="s">
        <v>533</v>
      </c>
      <c r="D1132" s="8"/>
      <c r="E1132" s="47">
        <f>E1133</f>
        <v>159.80000000000001</v>
      </c>
      <c r="G1132" s="101"/>
      <c r="H1132" s="73"/>
    </row>
    <row r="1133" spans="1:8" ht="31.5" x14ac:dyDescent="0.2">
      <c r="A1133" s="11" t="s">
        <v>713</v>
      </c>
      <c r="B1133" s="8" t="s">
        <v>83</v>
      </c>
      <c r="C1133" s="7" t="s">
        <v>533</v>
      </c>
      <c r="D1133" s="8">
        <v>320</v>
      </c>
      <c r="E1133" s="47">
        <v>159.80000000000001</v>
      </c>
      <c r="F1133" s="122"/>
      <c r="G1133" s="102"/>
      <c r="H1133" s="73"/>
    </row>
    <row r="1134" spans="1:8" ht="47.25" x14ac:dyDescent="0.2">
      <c r="A1134" s="11" t="s">
        <v>176</v>
      </c>
      <c r="B1134" s="8" t="s">
        <v>83</v>
      </c>
      <c r="C1134" s="7" t="s">
        <v>271</v>
      </c>
      <c r="D1134" s="8" t="s">
        <v>0</v>
      </c>
      <c r="E1134" s="47">
        <f>E1135+E1141</f>
        <v>352527.39999999997</v>
      </c>
    </row>
    <row r="1135" spans="1:8" ht="31.5" x14ac:dyDescent="0.2">
      <c r="A1135" s="11" t="s">
        <v>184</v>
      </c>
      <c r="B1135" s="8" t="s">
        <v>83</v>
      </c>
      <c r="C1135" s="7" t="s">
        <v>273</v>
      </c>
      <c r="D1135" s="8" t="s">
        <v>0</v>
      </c>
      <c r="E1135" s="47">
        <f>E1136</f>
        <v>325851.89999999997</v>
      </c>
    </row>
    <row r="1136" spans="1:8" ht="31.5" x14ac:dyDescent="0.2">
      <c r="A1136" s="11" t="s">
        <v>534</v>
      </c>
      <c r="B1136" s="8">
        <v>1003</v>
      </c>
      <c r="C1136" s="7" t="s">
        <v>535</v>
      </c>
      <c r="D1136" s="8"/>
      <c r="E1136" s="47">
        <f>E1137+E1139</f>
        <v>325851.89999999997</v>
      </c>
    </row>
    <row r="1137" spans="1:7" ht="47.25" x14ac:dyDescent="0.2">
      <c r="A1137" s="39" t="s">
        <v>1087</v>
      </c>
      <c r="B1137" s="8">
        <v>1003</v>
      </c>
      <c r="C1137" s="36" t="s">
        <v>829</v>
      </c>
      <c r="D1137" s="35"/>
      <c r="E1137" s="47">
        <f>E1138</f>
        <v>316332.59999999998</v>
      </c>
      <c r="F1137" s="112"/>
    </row>
    <row r="1138" spans="1:7" ht="31.5" x14ac:dyDescent="0.2">
      <c r="A1138" s="39" t="s">
        <v>713</v>
      </c>
      <c r="B1138" s="8">
        <v>1003</v>
      </c>
      <c r="C1138" s="36" t="s">
        <v>829</v>
      </c>
      <c r="D1138" s="35">
        <v>320</v>
      </c>
      <c r="E1138" s="194">
        <f>258333.6+57999</f>
        <v>316332.59999999998</v>
      </c>
      <c r="F1138" s="227"/>
    </row>
    <row r="1139" spans="1:7" ht="47.25" x14ac:dyDescent="0.2">
      <c r="A1139" s="37" t="s">
        <v>833</v>
      </c>
      <c r="B1139" s="8">
        <v>1003</v>
      </c>
      <c r="C1139" s="7" t="s">
        <v>834</v>
      </c>
      <c r="D1139" s="8"/>
      <c r="E1139" s="47">
        <f>E1140</f>
        <v>9519.2999999999993</v>
      </c>
      <c r="F1139" s="112"/>
    </row>
    <row r="1140" spans="1:7" ht="31.5" x14ac:dyDescent="0.2">
      <c r="A1140" s="39" t="s">
        <v>713</v>
      </c>
      <c r="B1140" s="8">
        <v>1003</v>
      </c>
      <c r="C1140" s="7" t="s">
        <v>834</v>
      </c>
      <c r="D1140" s="8">
        <v>320</v>
      </c>
      <c r="E1140" s="47">
        <v>9519.2999999999993</v>
      </c>
      <c r="F1140" s="63"/>
    </row>
    <row r="1141" spans="1:7" ht="31.5" x14ac:dyDescent="0.2">
      <c r="A1141" s="11" t="s">
        <v>239</v>
      </c>
      <c r="B1141" s="8" t="s">
        <v>83</v>
      </c>
      <c r="C1141" s="7" t="s">
        <v>538</v>
      </c>
      <c r="D1141" s="8" t="s">
        <v>0</v>
      </c>
      <c r="E1141" s="47">
        <f>E1142</f>
        <v>26675.5</v>
      </c>
    </row>
    <row r="1142" spans="1:7" ht="50.25" customHeight="1" x14ac:dyDescent="0.2">
      <c r="A1142" s="11" t="s">
        <v>240</v>
      </c>
      <c r="B1142" s="8" t="s">
        <v>83</v>
      </c>
      <c r="C1142" s="7" t="s">
        <v>539</v>
      </c>
      <c r="D1142" s="8" t="s">
        <v>0</v>
      </c>
      <c r="E1142" s="47">
        <f>E1146+E1150+E1144+E1148</f>
        <v>26675.5</v>
      </c>
    </row>
    <row r="1143" spans="1:7" ht="50.25" customHeight="1" x14ac:dyDescent="0.2">
      <c r="A1143" s="39" t="s">
        <v>1087</v>
      </c>
      <c r="B1143" s="196" t="s">
        <v>83</v>
      </c>
      <c r="C1143" s="36" t="s">
        <v>1024</v>
      </c>
      <c r="D1143" s="196"/>
      <c r="E1143" s="194">
        <f>E1144</f>
        <v>310.7</v>
      </c>
    </row>
    <row r="1144" spans="1:7" ht="50.25" customHeight="1" x14ac:dyDescent="0.2">
      <c r="A1144" s="39" t="s">
        <v>713</v>
      </c>
      <c r="B1144" s="196" t="s">
        <v>83</v>
      </c>
      <c r="C1144" s="36" t="s">
        <v>1024</v>
      </c>
      <c r="D1144" s="196">
        <v>320</v>
      </c>
      <c r="E1144" s="194">
        <v>310.7</v>
      </c>
    </row>
    <row r="1145" spans="1:7" ht="50.25" customHeight="1" x14ac:dyDescent="0.2">
      <c r="A1145" s="39" t="s">
        <v>1027</v>
      </c>
      <c r="B1145" s="196" t="s">
        <v>83</v>
      </c>
      <c r="C1145" s="36" t="s">
        <v>1025</v>
      </c>
      <c r="D1145" s="196"/>
      <c r="E1145" s="194">
        <f>E1146</f>
        <v>30.8</v>
      </c>
    </row>
    <row r="1146" spans="1:7" ht="50.25" customHeight="1" x14ac:dyDescent="0.2">
      <c r="A1146" s="39" t="s">
        <v>713</v>
      </c>
      <c r="B1146" s="196" t="s">
        <v>83</v>
      </c>
      <c r="C1146" s="36" t="s">
        <v>1025</v>
      </c>
      <c r="D1146" s="196">
        <v>320</v>
      </c>
      <c r="E1146" s="194">
        <v>30.8</v>
      </c>
    </row>
    <row r="1147" spans="1:7" ht="50.25" customHeight="1" x14ac:dyDescent="0.2">
      <c r="A1147" s="39" t="s">
        <v>1028</v>
      </c>
      <c r="B1147" s="196" t="s">
        <v>83</v>
      </c>
      <c r="C1147" s="36" t="s">
        <v>1026</v>
      </c>
      <c r="D1147" s="196"/>
      <c r="E1147" s="194">
        <f>E1148</f>
        <v>25670.400000000001</v>
      </c>
    </row>
    <row r="1148" spans="1:7" ht="50.25" customHeight="1" x14ac:dyDescent="0.2">
      <c r="A1148" s="39" t="s">
        <v>713</v>
      </c>
      <c r="B1148" s="196" t="s">
        <v>83</v>
      </c>
      <c r="C1148" s="36" t="s">
        <v>1026</v>
      </c>
      <c r="D1148" s="196">
        <v>320</v>
      </c>
      <c r="E1148" s="194">
        <v>25670.400000000001</v>
      </c>
    </row>
    <row r="1149" spans="1:7" ht="31.5" x14ac:dyDescent="0.2">
      <c r="A1149" s="5" t="s">
        <v>540</v>
      </c>
      <c r="B1149" s="8" t="s">
        <v>83</v>
      </c>
      <c r="C1149" s="7" t="s">
        <v>793</v>
      </c>
      <c r="D1149" s="8"/>
      <c r="E1149" s="47">
        <f>E1150</f>
        <v>663.6</v>
      </c>
      <c r="F1149" s="113"/>
    </row>
    <row r="1150" spans="1:7" ht="31.5" x14ac:dyDescent="0.2">
      <c r="A1150" s="11" t="s">
        <v>713</v>
      </c>
      <c r="B1150" s="8" t="s">
        <v>83</v>
      </c>
      <c r="C1150" s="7" t="s">
        <v>793</v>
      </c>
      <c r="D1150" s="8">
        <v>320</v>
      </c>
      <c r="E1150" s="170">
        <v>663.6</v>
      </c>
      <c r="F1150" s="130"/>
      <c r="G1150" s="56"/>
    </row>
    <row r="1151" spans="1:7" ht="31.5" x14ac:dyDescent="0.2">
      <c r="A1151" s="11" t="s">
        <v>124</v>
      </c>
      <c r="B1151" s="8" t="s">
        <v>83</v>
      </c>
      <c r="C1151" s="7" t="s">
        <v>310</v>
      </c>
      <c r="D1151" s="8" t="s">
        <v>0</v>
      </c>
      <c r="E1151" s="47">
        <f>E1152+E1155+E1158</f>
        <v>65730.3</v>
      </c>
    </row>
    <row r="1152" spans="1:7" ht="31.5" x14ac:dyDescent="0.2">
      <c r="A1152" s="11" t="s">
        <v>241</v>
      </c>
      <c r="B1152" s="8" t="s">
        <v>83</v>
      </c>
      <c r="C1152" s="7" t="s">
        <v>541</v>
      </c>
      <c r="D1152" s="8" t="s">
        <v>0</v>
      </c>
      <c r="E1152" s="47">
        <f>E1153</f>
        <v>3448.2</v>
      </c>
    </row>
    <row r="1153" spans="1:6" ht="31.5" x14ac:dyDescent="0.2">
      <c r="A1153" s="11" t="s">
        <v>241</v>
      </c>
      <c r="B1153" s="8" t="s">
        <v>83</v>
      </c>
      <c r="C1153" s="7" t="s">
        <v>542</v>
      </c>
      <c r="D1153" s="8"/>
      <c r="E1153" s="47">
        <f>E1154</f>
        <v>3448.2</v>
      </c>
    </row>
    <row r="1154" spans="1:6" x14ac:dyDescent="0.2">
      <c r="A1154" s="11" t="s">
        <v>714</v>
      </c>
      <c r="B1154" s="8" t="s">
        <v>83</v>
      </c>
      <c r="C1154" s="7" t="s">
        <v>542</v>
      </c>
      <c r="D1154" s="8">
        <v>310</v>
      </c>
      <c r="E1154" s="188">
        <v>3448.2</v>
      </c>
    </row>
    <row r="1155" spans="1:6" ht="42" customHeight="1" x14ac:dyDescent="0.2">
      <c r="A1155" s="11" t="s">
        <v>543</v>
      </c>
      <c r="B1155" s="8" t="s">
        <v>83</v>
      </c>
      <c r="C1155" s="7" t="s">
        <v>544</v>
      </c>
      <c r="D1155" s="8" t="s">
        <v>0</v>
      </c>
      <c r="E1155" s="47">
        <f>E1156</f>
        <v>114.2</v>
      </c>
    </row>
    <row r="1156" spans="1:6" ht="31.5" x14ac:dyDescent="0.2">
      <c r="A1156" s="11" t="s">
        <v>543</v>
      </c>
      <c r="B1156" s="8" t="s">
        <v>83</v>
      </c>
      <c r="C1156" s="7" t="s">
        <v>545</v>
      </c>
      <c r="D1156" s="8"/>
      <c r="E1156" s="47">
        <f>E1157</f>
        <v>114.2</v>
      </c>
    </row>
    <row r="1157" spans="1:6" x14ac:dyDescent="0.2">
      <c r="A1157" s="11" t="s">
        <v>714</v>
      </c>
      <c r="B1157" s="8" t="s">
        <v>83</v>
      </c>
      <c r="C1157" s="7" t="s">
        <v>545</v>
      </c>
      <c r="D1157" s="8">
        <v>310</v>
      </c>
      <c r="E1157" s="188">
        <v>114.2</v>
      </c>
    </row>
    <row r="1158" spans="1:6" ht="31.5" x14ac:dyDescent="0.2">
      <c r="A1158" s="11" t="s">
        <v>125</v>
      </c>
      <c r="B1158" s="8" t="s">
        <v>83</v>
      </c>
      <c r="C1158" s="7" t="s">
        <v>445</v>
      </c>
      <c r="D1158" s="8" t="s">
        <v>0</v>
      </c>
      <c r="E1158" s="47">
        <f>E1159+E1162+E1165+E1168+E1171+E1174+E1177+E1180+E1183+E1186+E1189+E1192+E1195+E1198+E1201+E1205</f>
        <v>62167.9</v>
      </c>
    </row>
    <row r="1159" spans="1:6" ht="47.25" x14ac:dyDescent="0.2">
      <c r="A1159" s="11" t="s">
        <v>242</v>
      </c>
      <c r="B1159" s="8" t="s">
        <v>83</v>
      </c>
      <c r="C1159" s="7" t="s">
        <v>555</v>
      </c>
      <c r="D1159" s="8" t="s">
        <v>0</v>
      </c>
      <c r="E1159" s="47">
        <f>E1160</f>
        <v>3225</v>
      </c>
    </row>
    <row r="1160" spans="1:6" ht="47.25" x14ac:dyDescent="0.2">
      <c r="A1160" s="11" t="s">
        <v>242</v>
      </c>
      <c r="B1160" s="8" t="s">
        <v>83</v>
      </c>
      <c r="C1160" s="7" t="s">
        <v>556</v>
      </c>
      <c r="D1160" s="8"/>
      <c r="E1160" s="47">
        <f>E1161</f>
        <v>3225</v>
      </c>
    </row>
    <row r="1161" spans="1:6" x14ac:dyDescent="0.2">
      <c r="A1161" s="11" t="s">
        <v>714</v>
      </c>
      <c r="B1161" s="8" t="s">
        <v>83</v>
      </c>
      <c r="C1161" s="7" t="s">
        <v>556</v>
      </c>
      <c r="D1161" s="8">
        <v>310</v>
      </c>
      <c r="E1161" s="47">
        <f>3462-237</f>
        <v>3225</v>
      </c>
      <c r="F1161" s="56"/>
    </row>
    <row r="1162" spans="1:6" x14ac:dyDescent="0.2">
      <c r="A1162" s="11" t="s">
        <v>261</v>
      </c>
      <c r="B1162" s="8" t="s">
        <v>83</v>
      </c>
      <c r="C1162" s="7" t="s">
        <v>557</v>
      </c>
      <c r="D1162" s="8" t="s">
        <v>0</v>
      </c>
      <c r="E1162" s="47">
        <f>E1163</f>
        <v>1677</v>
      </c>
    </row>
    <row r="1163" spans="1:6" x14ac:dyDescent="0.2">
      <c r="A1163" s="11" t="s">
        <v>261</v>
      </c>
      <c r="B1163" s="8" t="s">
        <v>83</v>
      </c>
      <c r="C1163" s="7" t="s">
        <v>558</v>
      </c>
      <c r="D1163" s="8"/>
      <c r="E1163" s="47">
        <f>E1164</f>
        <v>1677</v>
      </c>
    </row>
    <row r="1164" spans="1:6" x14ac:dyDescent="0.2">
      <c r="A1164" s="11" t="s">
        <v>714</v>
      </c>
      <c r="B1164" s="8" t="s">
        <v>83</v>
      </c>
      <c r="C1164" s="7" t="s">
        <v>558</v>
      </c>
      <c r="D1164" s="8">
        <v>310</v>
      </c>
      <c r="E1164" s="47">
        <v>1677</v>
      </c>
    </row>
    <row r="1165" spans="1:6" ht="31.5" x14ac:dyDescent="0.2">
      <c r="A1165" s="11" t="s">
        <v>243</v>
      </c>
      <c r="B1165" s="8" t="s">
        <v>83</v>
      </c>
      <c r="C1165" s="7" t="s">
        <v>565</v>
      </c>
      <c r="D1165" s="8" t="s">
        <v>0</v>
      </c>
      <c r="E1165" s="47">
        <f>E1166</f>
        <v>100</v>
      </c>
    </row>
    <row r="1166" spans="1:6" ht="31.5" x14ac:dyDescent="0.2">
      <c r="A1166" s="11" t="s">
        <v>243</v>
      </c>
      <c r="B1166" s="8" t="s">
        <v>83</v>
      </c>
      <c r="C1166" s="7" t="s">
        <v>566</v>
      </c>
      <c r="D1166" s="8"/>
      <c r="E1166" s="47">
        <f>E1167</f>
        <v>100</v>
      </c>
    </row>
    <row r="1167" spans="1:6" x14ac:dyDescent="0.2">
      <c r="A1167" s="11" t="s">
        <v>714</v>
      </c>
      <c r="B1167" s="8" t="s">
        <v>83</v>
      </c>
      <c r="C1167" s="7" t="s">
        <v>566</v>
      </c>
      <c r="D1167" s="8">
        <v>310</v>
      </c>
      <c r="E1167" s="47">
        <v>100</v>
      </c>
    </row>
    <row r="1168" spans="1:6" ht="31.5" x14ac:dyDescent="0.2">
      <c r="A1168" s="11" t="s">
        <v>244</v>
      </c>
      <c r="B1168" s="8" t="s">
        <v>83</v>
      </c>
      <c r="C1168" s="7" t="s">
        <v>567</v>
      </c>
      <c r="D1168" s="8" t="s">
        <v>0</v>
      </c>
      <c r="E1168" s="47">
        <f>E1169</f>
        <v>1149.5</v>
      </c>
    </row>
    <row r="1169" spans="1:6" ht="31.5" x14ac:dyDescent="0.2">
      <c r="A1169" s="11" t="s">
        <v>244</v>
      </c>
      <c r="B1169" s="8" t="s">
        <v>83</v>
      </c>
      <c r="C1169" s="7" t="s">
        <v>568</v>
      </c>
      <c r="D1169" s="8"/>
      <c r="E1169" s="47">
        <f>E1170</f>
        <v>1149.5</v>
      </c>
    </row>
    <row r="1170" spans="1:6" x14ac:dyDescent="0.2">
      <c r="A1170" s="11" t="s">
        <v>714</v>
      </c>
      <c r="B1170" s="8" t="s">
        <v>83</v>
      </c>
      <c r="C1170" s="7" t="s">
        <v>568</v>
      </c>
      <c r="D1170" s="8">
        <v>310</v>
      </c>
      <c r="E1170" s="47">
        <v>1149.5</v>
      </c>
    </row>
    <row r="1171" spans="1:6" ht="31.5" x14ac:dyDescent="0.2">
      <c r="A1171" s="11" t="s">
        <v>245</v>
      </c>
      <c r="B1171" s="8" t="s">
        <v>83</v>
      </c>
      <c r="C1171" s="7" t="s">
        <v>569</v>
      </c>
      <c r="D1171" s="8" t="s">
        <v>0</v>
      </c>
      <c r="E1171" s="47">
        <f>E1172</f>
        <v>5.7</v>
      </c>
    </row>
    <row r="1172" spans="1:6" ht="31.5" x14ac:dyDescent="0.2">
      <c r="A1172" s="11" t="s">
        <v>245</v>
      </c>
      <c r="B1172" s="8" t="s">
        <v>83</v>
      </c>
      <c r="C1172" s="7" t="s">
        <v>570</v>
      </c>
      <c r="D1172" s="8"/>
      <c r="E1172" s="47">
        <f>E1173</f>
        <v>5.7</v>
      </c>
    </row>
    <row r="1173" spans="1:6" x14ac:dyDescent="0.2">
      <c r="A1173" s="11" t="s">
        <v>714</v>
      </c>
      <c r="B1173" s="8" t="s">
        <v>83</v>
      </c>
      <c r="C1173" s="7" t="s">
        <v>570</v>
      </c>
      <c r="D1173" s="8">
        <v>310</v>
      </c>
      <c r="E1173" s="47">
        <v>5.7</v>
      </c>
    </row>
    <row r="1174" spans="1:6" ht="47.25" x14ac:dyDescent="0.2">
      <c r="A1174" s="11" t="s">
        <v>246</v>
      </c>
      <c r="B1174" s="8" t="s">
        <v>83</v>
      </c>
      <c r="C1174" s="7" t="s">
        <v>576</v>
      </c>
      <c r="D1174" s="8" t="s">
        <v>0</v>
      </c>
      <c r="E1174" s="47">
        <f>E1175</f>
        <v>2400</v>
      </c>
    </row>
    <row r="1175" spans="1:6" ht="47.25" x14ac:dyDescent="0.2">
      <c r="A1175" s="11" t="s">
        <v>246</v>
      </c>
      <c r="B1175" s="8" t="s">
        <v>83</v>
      </c>
      <c r="C1175" s="7" t="s">
        <v>577</v>
      </c>
      <c r="D1175" s="8"/>
      <c r="E1175" s="47">
        <f>E1176</f>
        <v>2400</v>
      </c>
    </row>
    <row r="1176" spans="1:6" x14ac:dyDescent="0.2">
      <c r="A1176" s="11" t="s">
        <v>714</v>
      </c>
      <c r="B1176" s="8" t="s">
        <v>83</v>
      </c>
      <c r="C1176" s="7" t="s">
        <v>577</v>
      </c>
      <c r="D1176" s="8">
        <v>310</v>
      </c>
      <c r="E1176" s="47">
        <v>2400</v>
      </c>
      <c r="F1176" s="63"/>
    </row>
    <row r="1177" spans="1:6" ht="31.5" x14ac:dyDescent="0.2">
      <c r="A1177" s="11" t="s">
        <v>247</v>
      </c>
      <c r="B1177" s="8" t="s">
        <v>83</v>
      </c>
      <c r="C1177" s="7" t="s">
        <v>578</v>
      </c>
      <c r="D1177" s="8" t="s">
        <v>0</v>
      </c>
      <c r="E1177" s="47">
        <f>E1178</f>
        <v>225</v>
      </c>
    </row>
    <row r="1178" spans="1:6" ht="31.5" x14ac:dyDescent="0.2">
      <c r="A1178" s="11" t="s">
        <v>247</v>
      </c>
      <c r="B1178" s="8" t="s">
        <v>83</v>
      </c>
      <c r="C1178" s="7" t="s">
        <v>579</v>
      </c>
      <c r="D1178" s="8"/>
      <c r="E1178" s="47">
        <f>E1179</f>
        <v>225</v>
      </c>
    </row>
    <row r="1179" spans="1:6" x14ac:dyDescent="0.2">
      <c r="A1179" s="11" t="s">
        <v>714</v>
      </c>
      <c r="B1179" s="8" t="s">
        <v>83</v>
      </c>
      <c r="C1179" s="7" t="s">
        <v>579</v>
      </c>
      <c r="D1179" s="8">
        <v>310</v>
      </c>
      <c r="E1179" s="47">
        <v>225</v>
      </c>
      <c r="F1179" s="56"/>
    </row>
    <row r="1180" spans="1:6" ht="31.5" x14ac:dyDescent="0.2">
      <c r="A1180" s="11" t="s">
        <v>248</v>
      </c>
      <c r="B1180" s="8" t="s">
        <v>83</v>
      </c>
      <c r="C1180" s="7" t="s">
        <v>580</v>
      </c>
      <c r="D1180" s="8" t="s">
        <v>0</v>
      </c>
      <c r="E1180" s="47">
        <f>E1181</f>
        <v>2400</v>
      </c>
    </row>
    <row r="1181" spans="1:6" ht="31.5" x14ac:dyDescent="0.2">
      <c r="A1181" s="11" t="s">
        <v>248</v>
      </c>
      <c r="B1181" s="8" t="s">
        <v>83</v>
      </c>
      <c r="C1181" s="7" t="s">
        <v>581</v>
      </c>
      <c r="D1181" s="8"/>
      <c r="E1181" s="47">
        <f>E1182</f>
        <v>2400</v>
      </c>
    </row>
    <row r="1182" spans="1:6" x14ac:dyDescent="0.2">
      <c r="A1182" s="11" t="s">
        <v>714</v>
      </c>
      <c r="B1182" s="8" t="s">
        <v>83</v>
      </c>
      <c r="C1182" s="7" t="s">
        <v>581</v>
      </c>
      <c r="D1182" s="8">
        <v>310</v>
      </c>
      <c r="E1182" s="47">
        <v>2400</v>
      </c>
      <c r="F1182" s="63"/>
    </row>
    <row r="1183" spans="1:6" ht="47.25" x14ac:dyDescent="0.2">
      <c r="A1183" s="11" t="s">
        <v>263</v>
      </c>
      <c r="B1183" s="8" t="s">
        <v>83</v>
      </c>
      <c r="C1183" s="7" t="s">
        <v>602</v>
      </c>
      <c r="D1183" s="193"/>
      <c r="E1183" s="47">
        <f>E1184</f>
        <v>8275.7000000000007</v>
      </c>
    </row>
    <row r="1184" spans="1:6" ht="47.25" x14ac:dyDescent="0.2">
      <c r="A1184" s="11" t="s">
        <v>263</v>
      </c>
      <c r="B1184" s="8" t="s">
        <v>83</v>
      </c>
      <c r="C1184" s="7" t="s">
        <v>603</v>
      </c>
      <c r="D1184" s="193"/>
      <c r="E1184" s="47">
        <f>E1185</f>
        <v>8275.7000000000007</v>
      </c>
    </row>
    <row r="1185" spans="1:6" x14ac:dyDescent="0.2">
      <c r="A1185" s="11" t="s">
        <v>714</v>
      </c>
      <c r="B1185" s="8" t="s">
        <v>83</v>
      </c>
      <c r="C1185" s="7" t="s">
        <v>603</v>
      </c>
      <c r="D1185" s="9">
        <v>310</v>
      </c>
      <c r="E1185" s="47">
        <v>8275.7000000000007</v>
      </c>
    </row>
    <row r="1186" spans="1:6" ht="47.25" x14ac:dyDescent="0.2">
      <c r="A1186" s="11" t="s">
        <v>264</v>
      </c>
      <c r="B1186" s="8" t="s">
        <v>83</v>
      </c>
      <c r="C1186" s="7" t="s">
        <v>604</v>
      </c>
      <c r="D1186" s="193"/>
      <c r="E1186" s="47">
        <f>E1187</f>
        <v>0</v>
      </c>
    </row>
    <row r="1187" spans="1:6" ht="47.25" x14ac:dyDescent="0.2">
      <c r="A1187" s="11" t="s">
        <v>264</v>
      </c>
      <c r="B1187" s="8" t="s">
        <v>83</v>
      </c>
      <c r="C1187" s="7" t="s">
        <v>605</v>
      </c>
      <c r="D1187" s="193"/>
      <c r="E1187" s="47">
        <f>E1188</f>
        <v>0</v>
      </c>
      <c r="F1187" s="56"/>
    </row>
    <row r="1188" spans="1:6" x14ac:dyDescent="0.2">
      <c r="A1188" s="11" t="s">
        <v>714</v>
      </c>
      <c r="B1188" s="8" t="s">
        <v>83</v>
      </c>
      <c r="C1188" s="7" t="s">
        <v>605</v>
      </c>
      <c r="D1188" s="9">
        <v>310</v>
      </c>
      <c r="E1188" s="47">
        <f>1311-1311</f>
        <v>0</v>
      </c>
      <c r="F1188" s="63"/>
    </row>
    <row r="1189" spans="1:6" ht="31.5" x14ac:dyDescent="0.2">
      <c r="A1189" s="11" t="s">
        <v>265</v>
      </c>
      <c r="B1189" s="8" t="s">
        <v>83</v>
      </c>
      <c r="C1189" s="7" t="s">
        <v>606</v>
      </c>
      <c r="D1189" s="193"/>
      <c r="E1189" s="47">
        <f>E1190</f>
        <v>6840</v>
      </c>
    </row>
    <row r="1190" spans="1:6" ht="31.5" x14ac:dyDescent="0.2">
      <c r="A1190" s="11" t="s">
        <v>265</v>
      </c>
      <c r="B1190" s="8" t="s">
        <v>83</v>
      </c>
      <c r="C1190" s="7" t="s">
        <v>607</v>
      </c>
      <c r="D1190" s="193"/>
      <c r="E1190" s="47">
        <f>E1191</f>
        <v>6840</v>
      </c>
    </row>
    <row r="1191" spans="1:6" x14ac:dyDescent="0.2">
      <c r="A1191" s="11" t="s">
        <v>714</v>
      </c>
      <c r="B1191" s="8" t="s">
        <v>83</v>
      </c>
      <c r="C1191" s="7" t="s">
        <v>607</v>
      </c>
      <c r="D1191" s="9">
        <v>310</v>
      </c>
      <c r="E1191" s="47">
        <v>6840</v>
      </c>
      <c r="F1191" s="56"/>
    </row>
    <row r="1192" spans="1:6" ht="63" x14ac:dyDescent="0.2">
      <c r="A1192" s="39" t="s">
        <v>737</v>
      </c>
      <c r="B1192" s="35" t="s">
        <v>83</v>
      </c>
      <c r="C1192" s="36" t="s">
        <v>739</v>
      </c>
      <c r="D1192" s="171"/>
      <c r="E1192" s="47">
        <f>E1193</f>
        <v>300</v>
      </c>
    </row>
    <row r="1193" spans="1:6" ht="63" x14ac:dyDescent="0.2">
      <c r="A1193" s="39" t="s">
        <v>737</v>
      </c>
      <c r="B1193" s="35" t="s">
        <v>83</v>
      </c>
      <c r="C1193" s="36" t="s">
        <v>740</v>
      </c>
      <c r="D1193" s="171"/>
      <c r="E1193" s="47">
        <f>E1194</f>
        <v>300</v>
      </c>
    </row>
    <row r="1194" spans="1:6" x14ac:dyDescent="0.2">
      <c r="A1194" s="39" t="s">
        <v>714</v>
      </c>
      <c r="B1194" s="35" t="s">
        <v>83</v>
      </c>
      <c r="C1194" s="36" t="s">
        <v>740</v>
      </c>
      <c r="D1194" s="171">
        <v>310</v>
      </c>
      <c r="E1194" s="47">
        <v>300</v>
      </c>
    </row>
    <row r="1195" spans="1:6" ht="63" x14ac:dyDescent="0.2">
      <c r="A1195" s="39" t="s">
        <v>738</v>
      </c>
      <c r="B1195" s="35" t="s">
        <v>83</v>
      </c>
      <c r="C1195" s="36" t="s">
        <v>741</v>
      </c>
      <c r="D1195" s="171"/>
      <c r="E1195" s="47">
        <f>E1196</f>
        <v>500</v>
      </c>
    </row>
    <row r="1196" spans="1:6" ht="63" x14ac:dyDescent="0.2">
      <c r="A1196" s="39" t="s">
        <v>738</v>
      </c>
      <c r="B1196" s="35" t="s">
        <v>83</v>
      </c>
      <c r="C1196" s="36" t="s">
        <v>742</v>
      </c>
      <c r="D1196" s="171"/>
      <c r="E1196" s="47">
        <f>E1197</f>
        <v>500</v>
      </c>
    </row>
    <row r="1197" spans="1:6" x14ac:dyDescent="0.2">
      <c r="A1197" s="39" t="s">
        <v>714</v>
      </c>
      <c r="B1197" s="35" t="s">
        <v>83</v>
      </c>
      <c r="C1197" s="36" t="s">
        <v>742</v>
      </c>
      <c r="D1197" s="171">
        <v>310</v>
      </c>
      <c r="E1197" s="47">
        <v>500</v>
      </c>
    </row>
    <row r="1198" spans="1:6" ht="78.75" x14ac:dyDescent="0.2">
      <c r="A1198" s="163" t="s">
        <v>930</v>
      </c>
      <c r="B1198" s="35" t="s">
        <v>83</v>
      </c>
      <c r="C1198" s="36" t="s">
        <v>928</v>
      </c>
      <c r="D1198" s="171"/>
      <c r="E1198" s="47">
        <f>E1199</f>
        <v>4833</v>
      </c>
      <c r="F1198" s="63"/>
    </row>
    <row r="1199" spans="1:6" ht="78.75" x14ac:dyDescent="0.2">
      <c r="A1199" s="163" t="s">
        <v>930</v>
      </c>
      <c r="B1199" s="35" t="s">
        <v>83</v>
      </c>
      <c r="C1199" s="36" t="s">
        <v>929</v>
      </c>
      <c r="D1199" s="171"/>
      <c r="E1199" s="47">
        <f>E1200</f>
        <v>4833</v>
      </c>
      <c r="F1199" s="13"/>
    </row>
    <row r="1200" spans="1:6" x14ac:dyDescent="0.2">
      <c r="A1200" s="39" t="s">
        <v>714</v>
      </c>
      <c r="B1200" s="35" t="s">
        <v>83</v>
      </c>
      <c r="C1200" s="36" t="s">
        <v>929</v>
      </c>
      <c r="D1200" s="171">
        <v>310</v>
      </c>
      <c r="E1200" s="47">
        <v>4833</v>
      </c>
      <c r="F1200" s="63"/>
    </row>
    <row r="1201" spans="1:8" x14ac:dyDescent="0.2">
      <c r="A1201" s="39" t="s">
        <v>933</v>
      </c>
      <c r="B1201" s="35" t="s">
        <v>83</v>
      </c>
      <c r="C1201" s="36" t="s">
        <v>931</v>
      </c>
      <c r="D1201" s="171"/>
      <c r="E1201" s="201">
        <f>E1202</f>
        <v>30000</v>
      </c>
      <c r="F1201" s="63"/>
    </row>
    <row r="1202" spans="1:8" ht="47.25" x14ac:dyDescent="0.2">
      <c r="A1202" s="39" t="s">
        <v>934</v>
      </c>
      <c r="B1202" s="35" t="s">
        <v>83</v>
      </c>
      <c r="C1202" s="36" t="s">
        <v>932</v>
      </c>
      <c r="D1202" s="171"/>
      <c r="E1202" s="201">
        <f>E1203</f>
        <v>30000</v>
      </c>
      <c r="F1202" s="63"/>
    </row>
    <row r="1203" spans="1:8" ht="47.25" x14ac:dyDescent="0.2">
      <c r="A1203" s="2" t="s">
        <v>682</v>
      </c>
      <c r="B1203" s="35" t="s">
        <v>83</v>
      </c>
      <c r="C1203" s="36" t="s">
        <v>932</v>
      </c>
      <c r="D1203" s="171">
        <v>810</v>
      </c>
      <c r="E1203" s="201">
        <f>30000-1311+1311</f>
        <v>30000</v>
      </c>
      <c r="F1203" s="63"/>
    </row>
    <row r="1204" spans="1:8" ht="31.5" x14ac:dyDescent="0.2">
      <c r="A1204" s="254" t="s">
        <v>1077</v>
      </c>
      <c r="B1204" s="255" t="s">
        <v>83</v>
      </c>
      <c r="C1204" s="197" t="s">
        <v>1078</v>
      </c>
      <c r="D1204" s="237"/>
      <c r="E1204" s="201">
        <f>E1205</f>
        <v>237</v>
      </c>
      <c r="F1204" s="63"/>
      <c r="H1204" s="229"/>
    </row>
    <row r="1205" spans="1:8" ht="47.25" x14ac:dyDescent="0.2">
      <c r="A1205" s="256" t="s">
        <v>1079</v>
      </c>
      <c r="B1205" s="255" t="s">
        <v>83</v>
      </c>
      <c r="C1205" s="197" t="s">
        <v>1080</v>
      </c>
      <c r="D1205" s="237"/>
      <c r="E1205" s="201">
        <f>E1206</f>
        <v>237</v>
      </c>
      <c r="F1205" s="63"/>
      <c r="H1205" s="229"/>
    </row>
    <row r="1206" spans="1:8" ht="47.25" x14ac:dyDescent="0.2">
      <c r="A1206" s="11" t="s">
        <v>682</v>
      </c>
      <c r="B1206" s="255" t="s">
        <v>83</v>
      </c>
      <c r="C1206" s="197" t="s">
        <v>1080</v>
      </c>
      <c r="D1206" s="237">
        <v>810</v>
      </c>
      <c r="E1206" s="201">
        <f>237</f>
        <v>237</v>
      </c>
      <c r="F1206" s="63"/>
      <c r="H1206" s="229"/>
    </row>
    <row r="1207" spans="1:8" ht="47.25" x14ac:dyDescent="0.2">
      <c r="A1207" s="11" t="s">
        <v>127</v>
      </c>
      <c r="B1207" s="8" t="s">
        <v>83</v>
      </c>
      <c r="C1207" s="7" t="s">
        <v>292</v>
      </c>
      <c r="D1207" s="8" t="s">
        <v>0</v>
      </c>
      <c r="E1207" s="47">
        <f>E1208</f>
        <v>63.6</v>
      </c>
    </row>
    <row r="1208" spans="1:8" x14ac:dyDescent="0.2">
      <c r="A1208" s="11" t="s">
        <v>214</v>
      </c>
      <c r="B1208" s="8" t="s">
        <v>83</v>
      </c>
      <c r="C1208" s="7" t="s">
        <v>416</v>
      </c>
      <c r="D1208" s="8"/>
      <c r="E1208" s="47">
        <f>E1209</f>
        <v>63.6</v>
      </c>
    </row>
    <row r="1209" spans="1:8" ht="47.25" x14ac:dyDescent="0.2">
      <c r="A1209" s="11" t="s">
        <v>695</v>
      </c>
      <c r="B1209" s="8" t="s">
        <v>83</v>
      </c>
      <c r="C1209" s="7" t="s">
        <v>699</v>
      </c>
      <c r="D1209" s="8" t="s">
        <v>0</v>
      </c>
      <c r="E1209" s="47">
        <f>E1210</f>
        <v>63.6</v>
      </c>
    </row>
    <row r="1210" spans="1:8" x14ac:dyDescent="0.2">
      <c r="A1210" s="2" t="s">
        <v>944</v>
      </c>
      <c r="B1210" s="8" t="s">
        <v>83</v>
      </c>
      <c r="C1210" s="7" t="s">
        <v>699</v>
      </c>
      <c r="D1210" s="8">
        <v>610</v>
      </c>
      <c r="E1210" s="47">
        <v>63.6</v>
      </c>
    </row>
    <row r="1211" spans="1:8" ht="31.5" x14ac:dyDescent="0.2">
      <c r="A1211" s="11" t="s">
        <v>129</v>
      </c>
      <c r="B1211" s="8" t="s">
        <v>83</v>
      </c>
      <c r="C1211" s="7" t="s">
        <v>290</v>
      </c>
      <c r="D1211" s="8" t="s">
        <v>0</v>
      </c>
      <c r="E1211" s="47">
        <f>E1212</f>
        <v>4012.4</v>
      </c>
    </row>
    <row r="1212" spans="1:8" x14ac:dyDescent="0.2">
      <c r="A1212" s="11" t="s">
        <v>215</v>
      </c>
      <c r="B1212" s="8" t="s">
        <v>83</v>
      </c>
      <c r="C1212" s="7" t="s">
        <v>291</v>
      </c>
      <c r="D1212" s="8"/>
      <c r="E1212" s="47">
        <f>E1213+E1219+E1221+E1215+E1217</f>
        <v>4012.4</v>
      </c>
    </row>
    <row r="1213" spans="1:8" x14ac:dyDescent="0.2">
      <c r="A1213" s="11" t="s">
        <v>249</v>
      </c>
      <c r="B1213" s="8" t="s">
        <v>83</v>
      </c>
      <c r="C1213" s="7" t="s">
        <v>608</v>
      </c>
      <c r="D1213" s="8" t="s">
        <v>0</v>
      </c>
      <c r="E1213" s="47">
        <f>+E1214</f>
        <v>750.5</v>
      </c>
    </row>
    <row r="1214" spans="1:8" x14ac:dyDescent="0.2">
      <c r="A1214" s="11" t="s">
        <v>714</v>
      </c>
      <c r="B1214" s="8" t="s">
        <v>83</v>
      </c>
      <c r="C1214" s="7" t="s">
        <v>608</v>
      </c>
      <c r="D1214" s="8">
        <v>310</v>
      </c>
      <c r="E1214" s="47">
        <v>750.5</v>
      </c>
    </row>
    <row r="1215" spans="1:8" ht="47.25" x14ac:dyDescent="0.2">
      <c r="A1215" s="11" t="s">
        <v>811</v>
      </c>
      <c r="B1215" s="8" t="s">
        <v>83</v>
      </c>
      <c r="C1215" s="7" t="s">
        <v>697</v>
      </c>
      <c r="D1215" s="8" t="s">
        <v>0</v>
      </c>
      <c r="E1215" s="47">
        <f>SUM(E1216)</f>
        <v>1678.2</v>
      </c>
    </row>
    <row r="1216" spans="1:8" x14ac:dyDescent="0.2">
      <c r="A1216" s="2" t="s">
        <v>944</v>
      </c>
      <c r="B1216" s="8" t="s">
        <v>83</v>
      </c>
      <c r="C1216" s="7" t="s">
        <v>697</v>
      </c>
      <c r="D1216" s="8">
        <v>610</v>
      </c>
      <c r="E1216" s="47">
        <v>1678.2</v>
      </c>
    </row>
    <row r="1217" spans="1:8" ht="47.25" x14ac:dyDescent="0.2">
      <c r="A1217" s="11" t="s">
        <v>695</v>
      </c>
      <c r="B1217" s="8" t="s">
        <v>83</v>
      </c>
      <c r="C1217" s="7" t="s">
        <v>698</v>
      </c>
      <c r="D1217" s="8" t="s">
        <v>0</v>
      </c>
      <c r="E1217" s="47">
        <f>SUM(E1218)</f>
        <v>762.4</v>
      </c>
    </row>
    <row r="1218" spans="1:8" x14ac:dyDescent="0.2">
      <c r="A1218" s="2" t="s">
        <v>944</v>
      </c>
      <c r="B1218" s="8" t="s">
        <v>83</v>
      </c>
      <c r="C1218" s="7" t="s">
        <v>698</v>
      </c>
      <c r="D1218" s="8">
        <v>610</v>
      </c>
      <c r="E1218" s="47">
        <v>762.4</v>
      </c>
    </row>
    <row r="1219" spans="1:8" ht="63" x14ac:dyDescent="0.2">
      <c r="A1219" s="11" t="s">
        <v>700</v>
      </c>
      <c r="B1219" s="8">
        <v>1003</v>
      </c>
      <c r="C1219" s="7" t="s">
        <v>701</v>
      </c>
      <c r="D1219" s="8"/>
      <c r="E1219" s="47">
        <f>E1220</f>
        <v>150</v>
      </c>
    </row>
    <row r="1220" spans="1:8" x14ac:dyDescent="0.2">
      <c r="A1220" s="2" t="s">
        <v>944</v>
      </c>
      <c r="B1220" s="8">
        <v>1003</v>
      </c>
      <c r="C1220" s="7" t="s">
        <v>701</v>
      </c>
      <c r="D1220" s="8">
        <v>610</v>
      </c>
      <c r="E1220" s="47">
        <v>150</v>
      </c>
    </row>
    <row r="1221" spans="1:8" ht="31.5" x14ac:dyDescent="0.2">
      <c r="A1221" s="11" t="s">
        <v>694</v>
      </c>
      <c r="B1221" s="8" t="s">
        <v>83</v>
      </c>
      <c r="C1221" s="7" t="s">
        <v>696</v>
      </c>
      <c r="D1221" s="8" t="s">
        <v>0</v>
      </c>
      <c r="E1221" s="47">
        <f>SUM(E1222)</f>
        <v>671.3</v>
      </c>
    </row>
    <row r="1222" spans="1:8" x14ac:dyDescent="0.2">
      <c r="A1222" s="2" t="s">
        <v>944</v>
      </c>
      <c r="B1222" s="8" t="s">
        <v>83</v>
      </c>
      <c r="C1222" s="7" t="s">
        <v>696</v>
      </c>
      <c r="D1222" s="8">
        <v>610</v>
      </c>
      <c r="E1222" s="47">
        <v>671.3</v>
      </c>
    </row>
    <row r="1223" spans="1:8" x14ac:dyDescent="0.2">
      <c r="A1223" s="39" t="s">
        <v>27</v>
      </c>
      <c r="B1223" s="35">
        <v>1003</v>
      </c>
      <c r="C1223" s="36" t="s">
        <v>427</v>
      </c>
      <c r="D1223" s="171"/>
      <c r="E1223" s="47">
        <f>E1224+E1226</f>
        <v>450.8</v>
      </c>
    </row>
    <row r="1224" spans="1:8" ht="31.5" x14ac:dyDescent="0.2">
      <c r="A1224" s="39" t="s">
        <v>812</v>
      </c>
      <c r="B1224" s="35">
        <v>1003</v>
      </c>
      <c r="C1224" s="36" t="s">
        <v>813</v>
      </c>
      <c r="D1224" s="171"/>
      <c r="E1224" s="47">
        <f>E1225</f>
        <v>450.8</v>
      </c>
    </row>
    <row r="1225" spans="1:8" x14ac:dyDescent="0.2">
      <c r="A1225" s="39" t="s">
        <v>714</v>
      </c>
      <c r="B1225" s="35">
        <v>1003</v>
      </c>
      <c r="C1225" s="36" t="s">
        <v>813</v>
      </c>
      <c r="D1225" s="171">
        <v>310</v>
      </c>
      <c r="E1225" s="47">
        <v>450.8</v>
      </c>
      <c r="F1225" s="139"/>
      <c r="G1225" s="54"/>
      <c r="H1225" s="54"/>
    </row>
    <row r="1226" spans="1:8" ht="31.5" x14ac:dyDescent="0.2">
      <c r="A1226" s="39" t="s">
        <v>812</v>
      </c>
      <c r="B1226" s="35">
        <v>1003</v>
      </c>
      <c r="C1226" s="36" t="s">
        <v>836</v>
      </c>
      <c r="D1226" s="171"/>
      <c r="E1226" s="47">
        <f>E1227</f>
        <v>0</v>
      </c>
      <c r="F1226" s="114"/>
      <c r="G1226" s="54"/>
      <c r="H1226" s="54"/>
    </row>
    <row r="1227" spans="1:8" x14ac:dyDescent="0.2">
      <c r="A1227" s="39" t="s">
        <v>714</v>
      </c>
      <c r="B1227" s="35">
        <v>1003</v>
      </c>
      <c r="C1227" s="36" t="s">
        <v>836</v>
      </c>
      <c r="D1227" s="171">
        <v>310</v>
      </c>
      <c r="E1227" s="47">
        <v>0</v>
      </c>
      <c r="F1227" s="114"/>
      <c r="G1227" s="54"/>
      <c r="H1227" s="71"/>
    </row>
    <row r="1228" spans="1:8" x14ac:dyDescent="0.2">
      <c r="A1228" s="11" t="s">
        <v>21</v>
      </c>
      <c r="B1228" s="8" t="s">
        <v>83</v>
      </c>
      <c r="C1228" s="7" t="s">
        <v>331</v>
      </c>
      <c r="D1228" s="9" t="s">
        <v>0</v>
      </c>
      <c r="E1228" s="47">
        <f>E1229</f>
        <v>1430.1</v>
      </c>
      <c r="F1228" s="114"/>
      <c r="G1228" s="54"/>
      <c r="H1228" s="54"/>
    </row>
    <row r="1229" spans="1:8" ht="31.5" x14ac:dyDescent="0.2">
      <c r="A1229" s="2" t="s">
        <v>812</v>
      </c>
      <c r="B1229" s="8" t="s">
        <v>83</v>
      </c>
      <c r="C1229" s="7" t="s">
        <v>830</v>
      </c>
      <c r="D1229" s="9"/>
      <c r="E1229" s="47">
        <f>SUM(E1230:E1230)</f>
        <v>1430.1</v>
      </c>
      <c r="F1229" s="114"/>
      <c r="G1229" s="54"/>
      <c r="H1229" s="54"/>
    </row>
    <row r="1230" spans="1:8" x14ac:dyDescent="0.2">
      <c r="A1230" s="11" t="s">
        <v>714</v>
      </c>
      <c r="B1230" s="8" t="s">
        <v>83</v>
      </c>
      <c r="C1230" s="7" t="s">
        <v>830</v>
      </c>
      <c r="D1230" s="9">
        <v>310</v>
      </c>
      <c r="E1230" s="47">
        <f>746.1+342+342</f>
        <v>1430.1</v>
      </c>
      <c r="F1230" s="82"/>
      <c r="G1230" s="82"/>
      <c r="H1230" s="54"/>
    </row>
    <row r="1231" spans="1:8" x14ac:dyDescent="0.2">
      <c r="A1231" s="20" t="s">
        <v>84</v>
      </c>
      <c r="B1231" s="18" t="s">
        <v>85</v>
      </c>
      <c r="C1231" s="15" t="s">
        <v>0</v>
      </c>
      <c r="D1231" s="18" t="s">
        <v>0</v>
      </c>
      <c r="E1231" s="182">
        <f>E1232</f>
        <v>496518.79999999993</v>
      </c>
    </row>
    <row r="1232" spans="1:8" ht="31.5" x14ac:dyDescent="0.2">
      <c r="A1232" s="11" t="s">
        <v>149</v>
      </c>
      <c r="B1232" s="8" t="s">
        <v>85</v>
      </c>
      <c r="C1232" s="24" t="s">
        <v>288</v>
      </c>
      <c r="D1232" s="8" t="s">
        <v>0</v>
      </c>
      <c r="E1232" s="47">
        <f>E1233+E1243</f>
        <v>496518.79999999993</v>
      </c>
    </row>
    <row r="1233" spans="1:6" ht="31.5" x14ac:dyDescent="0.2">
      <c r="A1233" s="11" t="s">
        <v>211</v>
      </c>
      <c r="B1233" s="8" t="s">
        <v>85</v>
      </c>
      <c r="C1233" s="24" t="s">
        <v>418</v>
      </c>
      <c r="D1233" s="8" t="s">
        <v>0</v>
      </c>
      <c r="E1233" s="47">
        <f>E1234</f>
        <v>405752.89999999997</v>
      </c>
    </row>
    <row r="1234" spans="1:6" x14ac:dyDescent="0.2">
      <c r="A1234" s="41" t="s">
        <v>225</v>
      </c>
      <c r="B1234" s="23" t="s">
        <v>85</v>
      </c>
      <c r="C1234" s="24" t="s">
        <v>419</v>
      </c>
      <c r="D1234" s="8"/>
      <c r="E1234" s="47">
        <f>E1235</f>
        <v>405752.89999999997</v>
      </c>
    </row>
    <row r="1235" spans="1:6" ht="31.5" x14ac:dyDescent="0.2">
      <c r="A1235" s="41" t="s">
        <v>674</v>
      </c>
      <c r="B1235" s="23" t="s">
        <v>85</v>
      </c>
      <c r="C1235" s="24" t="s">
        <v>420</v>
      </c>
      <c r="D1235" s="8" t="s">
        <v>0</v>
      </c>
      <c r="E1235" s="47">
        <f>E1236+E1237+E1238+E1239+E1241</f>
        <v>405752.89999999997</v>
      </c>
    </row>
    <row r="1236" spans="1:6" ht="31.5" x14ac:dyDescent="0.2">
      <c r="A1236" s="41" t="s">
        <v>713</v>
      </c>
      <c r="B1236" s="23" t="s">
        <v>85</v>
      </c>
      <c r="C1236" s="24" t="s">
        <v>420</v>
      </c>
      <c r="D1236" s="23">
        <v>320</v>
      </c>
      <c r="E1236" s="170">
        <f>800+2000+2021+72513.8</f>
        <v>77334.8</v>
      </c>
      <c r="F1236" s="129"/>
    </row>
    <row r="1237" spans="1:6" x14ac:dyDescent="0.2">
      <c r="A1237" s="41" t="s">
        <v>100</v>
      </c>
      <c r="B1237" s="23" t="s">
        <v>85</v>
      </c>
      <c r="C1237" s="24" t="s">
        <v>420</v>
      </c>
      <c r="D1237" s="23">
        <v>360</v>
      </c>
      <c r="E1237" s="170">
        <f>152918.1+500</f>
        <v>153418.1</v>
      </c>
      <c r="F1237" s="129"/>
    </row>
    <row r="1238" spans="1:6" ht="31.5" x14ac:dyDescent="0.2">
      <c r="A1238" s="40" t="s">
        <v>51</v>
      </c>
      <c r="B1238" s="35" t="s">
        <v>85</v>
      </c>
      <c r="C1238" s="36" t="s">
        <v>420</v>
      </c>
      <c r="D1238" s="35">
        <v>412</v>
      </c>
      <c r="E1238" s="47">
        <f>175000-12534.4</f>
        <v>162465.60000000001</v>
      </c>
      <c r="F1238" s="164"/>
    </row>
    <row r="1239" spans="1:6" ht="47.25" x14ac:dyDescent="0.2">
      <c r="A1239" s="40" t="s">
        <v>1071</v>
      </c>
      <c r="B1239" s="35">
        <v>1004</v>
      </c>
      <c r="C1239" s="36" t="s">
        <v>1069</v>
      </c>
      <c r="D1239" s="35"/>
      <c r="E1239" s="47">
        <v>5389.8</v>
      </c>
      <c r="F1239" s="58"/>
    </row>
    <row r="1240" spans="1:6" ht="31.5" x14ac:dyDescent="0.2">
      <c r="A1240" s="40" t="s">
        <v>51</v>
      </c>
      <c r="B1240" s="35">
        <v>1004</v>
      </c>
      <c r="C1240" s="36" t="s">
        <v>1069</v>
      </c>
      <c r="D1240" s="35">
        <v>412</v>
      </c>
      <c r="E1240" s="47">
        <v>5389.8</v>
      </c>
      <c r="F1240" s="58"/>
    </row>
    <row r="1241" spans="1:6" ht="47.25" x14ac:dyDescent="0.2">
      <c r="A1241" s="40" t="s">
        <v>1071</v>
      </c>
      <c r="B1241" s="35">
        <v>1004</v>
      </c>
      <c r="C1241" s="36" t="s">
        <v>1070</v>
      </c>
      <c r="D1241" s="35"/>
      <c r="E1241" s="47">
        <v>7144.6</v>
      </c>
      <c r="F1241" s="58"/>
    </row>
    <row r="1242" spans="1:6" ht="31.5" x14ac:dyDescent="0.2">
      <c r="A1242" s="40" t="s">
        <v>51</v>
      </c>
      <c r="B1242" s="35">
        <v>1004</v>
      </c>
      <c r="C1242" s="36" t="s">
        <v>1070</v>
      </c>
      <c r="D1242" s="35">
        <v>412</v>
      </c>
      <c r="E1242" s="47">
        <v>7144.6</v>
      </c>
      <c r="F1242" s="58"/>
    </row>
    <row r="1243" spans="1:6" x14ac:dyDescent="0.2">
      <c r="A1243" s="11" t="s">
        <v>207</v>
      </c>
      <c r="B1243" s="8" t="s">
        <v>85</v>
      </c>
      <c r="C1243" s="24" t="s">
        <v>421</v>
      </c>
      <c r="D1243" s="8" t="s">
        <v>0</v>
      </c>
      <c r="E1243" s="47">
        <f>E1245</f>
        <v>90765.9</v>
      </c>
    </row>
    <row r="1244" spans="1:6" ht="31.5" x14ac:dyDescent="0.2">
      <c r="A1244" s="41" t="s">
        <v>208</v>
      </c>
      <c r="B1244" s="23" t="s">
        <v>85</v>
      </c>
      <c r="C1244" s="24" t="s">
        <v>428</v>
      </c>
      <c r="D1244" s="8"/>
      <c r="E1244" s="47">
        <f>E1245</f>
        <v>90765.9</v>
      </c>
    </row>
    <row r="1245" spans="1:6" ht="63" x14ac:dyDescent="0.2">
      <c r="A1245" s="41" t="s">
        <v>250</v>
      </c>
      <c r="B1245" s="23" t="s">
        <v>85</v>
      </c>
      <c r="C1245" s="24" t="s">
        <v>429</v>
      </c>
      <c r="D1245" s="8" t="s">
        <v>0</v>
      </c>
      <c r="E1245" s="47">
        <f>E1246+E1247</f>
        <v>90765.9</v>
      </c>
    </row>
    <row r="1246" spans="1:6" x14ac:dyDescent="0.2">
      <c r="A1246" s="2" t="s">
        <v>944</v>
      </c>
      <c r="B1246" s="8" t="s">
        <v>85</v>
      </c>
      <c r="C1246" s="24" t="s">
        <v>429</v>
      </c>
      <c r="D1246" s="8">
        <v>610</v>
      </c>
      <c r="E1246" s="200">
        <v>25358.5</v>
      </c>
      <c r="F1246" s="129"/>
    </row>
    <row r="1247" spans="1:6" x14ac:dyDescent="0.2">
      <c r="A1247" s="2" t="s">
        <v>945</v>
      </c>
      <c r="B1247" s="8" t="s">
        <v>85</v>
      </c>
      <c r="C1247" s="24" t="s">
        <v>429</v>
      </c>
      <c r="D1247" s="8">
        <v>620</v>
      </c>
      <c r="E1247" s="200">
        <v>65407.4</v>
      </c>
      <c r="F1247" s="129"/>
    </row>
    <row r="1248" spans="1:6" s="28" customFormat="1" x14ac:dyDescent="0.2">
      <c r="A1248" s="20" t="s">
        <v>86</v>
      </c>
      <c r="B1248" s="18" t="s">
        <v>87</v>
      </c>
      <c r="C1248" s="15" t="s">
        <v>0</v>
      </c>
      <c r="D1248" s="18" t="s">
        <v>0</v>
      </c>
      <c r="E1248" s="182">
        <f>E1256+E1249</f>
        <v>45944.6</v>
      </c>
      <c r="F1248" s="121"/>
    </row>
    <row r="1249" spans="1:6" s="28" customFormat="1" ht="47.25" x14ac:dyDescent="0.2">
      <c r="A1249" s="42" t="s">
        <v>233</v>
      </c>
      <c r="B1249" s="8" t="s">
        <v>87</v>
      </c>
      <c r="C1249" s="36" t="s">
        <v>514</v>
      </c>
      <c r="D1249" s="35"/>
      <c r="E1249" s="47">
        <f>E1250+E1252+E1254</f>
        <v>484.9</v>
      </c>
      <c r="F1249" s="121"/>
    </row>
    <row r="1250" spans="1:6" s="28" customFormat="1" ht="110.25" x14ac:dyDescent="0.2">
      <c r="A1250" s="39" t="s">
        <v>733</v>
      </c>
      <c r="B1250" s="8" t="s">
        <v>87</v>
      </c>
      <c r="C1250" s="36" t="s">
        <v>734</v>
      </c>
      <c r="D1250" s="35"/>
      <c r="E1250" s="47">
        <f>E1251</f>
        <v>151.1</v>
      </c>
      <c r="F1250" s="121"/>
    </row>
    <row r="1251" spans="1:6" s="28" customFormat="1" ht="31.5" x14ac:dyDescent="0.2">
      <c r="A1251" s="1" t="s">
        <v>706</v>
      </c>
      <c r="B1251" s="8" t="s">
        <v>87</v>
      </c>
      <c r="C1251" s="36" t="s">
        <v>734</v>
      </c>
      <c r="D1251" s="35">
        <v>240</v>
      </c>
      <c r="E1251" s="47">
        <v>151.1</v>
      </c>
      <c r="F1251" s="121"/>
    </row>
    <row r="1252" spans="1:6" s="28" customFormat="1" ht="110.25" x14ac:dyDescent="0.2">
      <c r="A1252" s="39" t="s">
        <v>733</v>
      </c>
      <c r="B1252" s="8" t="s">
        <v>87</v>
      </c>
      <c r="C1252" s="36" t="s">
        <v>748</v>
      </c>
      <c r="D1252" s="35"/>
      <c r="E1252" s="47">
        <f>SUM(E1253)</f>
        <v>308.7</v>
      </c>
      <c r="F1252" s="121"/>
    </row>
    <row r="1253" spans="1:6" s="28" customFormat="1" ht="31.5" x14ac:dyDescent="0.2">
      <c r="A1253" s="1" t="s">
        <v>706</v>
      </c>
      <c r="B1253" s="8" t="s">
        <v>87</v>
      </c>
      <c r="C1253" s="36" t="s">
        <v>748</v>
      </c>
      <c r="D1253" s="35">
        <v>240</v>
      </c>
      <c r="E1253" s="47">
        <v>308.7</v>
      </c>
      <c r="F1253" s="121"/>
    </row>
    <row r="1254" spans="1:6" s="28" customFormat="1" ht="110.25" x14ac:dyDescent="0.2">
      <c r="A1254" s="39" t="s">
        <v>733</v>
      </c>
      <c r="B1254" s="8" t="s">
        <v>87</v>
      </c>
      <c r="C1254" s="36" t="s">
        <v>735</v>
      </c>
      <c r="D1254" s="35"/>
      <c r="E1254" s="47">
        <f>E1255</f>
        <v>25.1</v>
      </c>
      <c r="F1254" s="121"/>
    </row>
    <row r="1255" spans="1:6" s="28" customFormat="1" ht="31.5" x14ac:dyDescent="0.2">
      <c r="A1255" s="1" t="s">
        <v>706</v>
      </c>
      <c r="B1255" s="8" t="s">
        <v>87</v>
      </c>
      <c r="C1255" s="36" t="s">
        <v>735</v>
      </c>
      <c r="D1255" s="35">
        <v>240</v>
      </c>
      <c r="E1255" s="47">
        <v>25.1</v>
      </c>
      <c r="F1255" s="121"/>
    </row>
    <row r="1256" spans="1:6" ht="31.5" x14ac:dyDescent="0.2">
      <c r="A1256" s="11" t="s">
        <v>124</v>
      </c>
      <c r="B1256" s="8" t="s">
        <v>87</v>
      </c>
      <c r="C1256" s="7" t="s">
        <v>310</v>
      </c>
      <c r="D1256" s="8" t="s">
        <v>0</v>
      </c>
      <c r="E1256" s="47">
        <f>E1257+E1280</f>
        <v>45459.7</v>
      </c>
    </row>
    <row r="1257" spans="1:6" x14ac:dyDescent="0.2">
      <c r="A1257" s="11" t="s">
        <v>167</v>
      </c>
      <c r="B1257" s="8" t="s">
        <v>87</v>
      </c>
      <c r="C1257" s="7" t="s">
        <v>311</v>
      </c>
      <c r="D1257" s="8" t="s">
        <v>0</v>
      </c>
      <c r="E1257" s="47">
        <f>E1258+E1269+E1274+E1277</f>
        <v>35459.699999999997</v>
      </c>
    </row>
    <row r="1258" spans="1:6" ht="31.5" x14ac:dyDescent="0.2">
      <c r="A1258" s="11" t="s">
        <v>168</v>
      </c>
      <c r="B1258" s="8" t="s">
        <v>87</v>
      </c>
      <c r="C1258" s="7" t="s">
        <v>312</v>
      </c>
      <c r="D1258" s="8"/>
      <c r="E1258" s="47">
        <f>E1259+E1261+E1263+E1266</f>
        <v>32636.7</v>
      </c>
    </row>
    <row r="1259" spans="1:6" x14ac:dyDescent="0.2">
      <c r="A1259" s="11" t="s">
        <v>376</v>
      </c>
      <c r="B1259" s="8">
        <v>1006</v>
      </c>
      <c r="C1259" s="7" t="s">
        <v>422</v>
      </c>
      <c r="D1259" s="8"/>
      <c r="E1259" s="47">
        <f>E1260</f>
        <v>10000</v>
      </c>
    </row>
    <row r="1260" spans="1:6" ht="31.5" x14ac:dyDescent="0.2">
      <c r="A1260" s="11" t="s">
        <v>51</v>
      </c>
      <c r="B1260" s="8">
        <v>1006</v>
      </c>
      <c r="C1260" s="7" t="s">
        <v>422</v>
      </c>
      <c r="D1260" s="8" t="s">
        <v>52</v>
      </c>
      <c r="E1260" s="47">
        <v>10000</v>
      </c>
    </row>
    <row r="1261" spans="1:6" ht="31.5" x14ac:dyDescent="0.2">
      <c r="A1261" s="39" t="s">
        <v>307</v>
      </c>
      <c r="B1261" s="8" t="s">
        <v>87</v>
      </c>
      <c r="C1261" s="7" t="s">
        <v>505</v>
      </c>
      <c r="D1261" s="8"/>
      <c r="E1261" s="47">
        <f>E1262</f>
        <v>3525</v>
      </c>
    </row>
    <row r="1262" spans="1:6" ht="31.5" x14ac:dyDescent="0.2">
      <c r="A1262" s="1" t="s">
        <v>706</v>
      </c>
      <c r="B1262" s="8" t="s">
        <v>87</v>
      </c>
      <c r="C1262" s="7" t="s">
        <v>505</v>
      </c>
      <c r="D1262" s="8">
        <v>240</v>
      </c>
      <c r="E1262" s="47">
        <f>1825+1700</f>
        <v>3525</v>
      </c>
      <c r="F1262" s="63"/>
    </row>
    <row r="1263" spans="1:6" ht="63" x14ac:dyDescent="0.2">
      <c r="A1263" s="10" t="s">
        <v>1008</v>
      </c>
      <c r="B1263" s="35">
        <v>1006</v>
      </c>
      <c r="C1263" s="36" t="s">
        <v>892</v>
      </c>
      <c r="D1263" s="8"/>
      <c r="E1263" s="47">
        <f>E1264+E1265</f>
        <v>17111.7</v>
      </c>
      <c r="F1263" s="75"/>
    </row>
    <row r="1264" spans="1:6" ht="31.5" x14ac:dyDescent="0.2">
      <c r="A1264" s="11" t="s">
        <v>157</v>
      </c>
      <c r="B1264" s="35">
        <v>1006</v>
      </c>
      <c r="C1264" s="36" t="s">
        <v>892</v>
      </c>
      <c r="D1264" s="35">
        <v>414</v>
      </c>
      <c r="E1264" s="47">
        <f>17111.7-10000</f>
        <v>7111.7000000000007</v>
      </c>
      <c r="F1264" s="75"/>
    </row>
    <row r="1265" spans="1:8" ht="31.5" x14ac:dyDescent="0.2">
      <c r="A1265" s="11" t="s">
        <v>706</v>
      </c>
      <c r="B1265" s="35">
        <v>1006</v>
      </c>
      <c r="C1265" s="36" t="s">
        <v>892</v>
      </c>
      <c r="D1265" s="35">
        <v>240</v>
      </c>
      <c r="E1265" s="47">
        <v>10000</v>
      </c>
      <c r="F1265" s="238"/>
      <c r="G1265" s="249"/>
    </row>
    <row r="1266" spans="1:8" ht="63" x14ac:dyDescent="0.2">
      <c r="A1266" s="39" t="s">
        <v>912</v>
      </c>
      <c r="B1266" s="35">
        <v>1006</v>
      </c>
      <c r="C1266" s="36" t="s">
        <v>893</v>
      </c>
      <c r="D1266" s="35"/>
      <c r="E1266" s="47">
        <f>E1267+E1268</f>
        <v>2000</v>
      </c>
      <c r="F1266" s="238"/>
      <c r="G1266" s="249"/>
      <c r="H1266" s="78"/>
    </row>
    <row r="1267" spans="1:8" ht="31.5" x14ac:dyDescent="0.2">
      <c r="A1267" s="11" t="s">
        <v>157</v>
      </c>
      <c r="B1267" s="35">
        <v>1006</v>
      </c>
      <c r="C1267" s="36" t="s">
        <v>893</v>
      </c>
      <c r="D1267" s="35">
        <v>414</v>
      </c>
      <c r="E1267" s="47">
        <f>2000-100</f>
        <v>1900</v>
      </c>
      <c r="F1267" s="238"/>
      <c r="G1267" s="249"/>
      <c r="H1267" s="78"/>
    </row>
    <row r="1268" spans="1:8" ht="31.5" x14ac:dyDescent="0.2">
      <c r="A1268" s="11" t="s">
        <v>706</v>
      </c>
      <c r="B1268" s="35">
        <v>1006</v>
      </c>
      <c r="C1268" s="36" t="s">
        <v>893</v>
      </c>
      <c r="D1268" s="35">
        <v>240</v>
      </c>
      <c r="E1268" s="47">
        <v>100</v>
      </c>
      <c r="F1268" s="238"/>
      <c r="G1268" s="249"/>
      <c r="H1268" s="78"/>
    </row>
    <row r="1269" spans="1:8" ht="31.5" x14ac:dyDescent="0.2">
      <c r="A1269" s="11" t="s">
        <v>251</v>
      </c>
      <c r="B1269" s="8" t="s">
        <v>87</v>
      </c>
      <c r="C1269" s="7" t="s">
        <v>506</v>
      </c>
      <c r="D1269" s="8" t="s">
        <v>0</v>
      </c>
      <c r="E1269" s="47">
        <f>E1270+E1272</f>
        <v>1103</v>
      </c>
    </row>
    <row r="1270" spans="1:8" ht="31.5" x14ac:dyDescent="0.2">
      <c r="A1270" s="11" t="s">
        <v>302</v>
      </c>
      <c r="B1270" s="8" t="s">
        <v>87</v>
      </c>
      <c r="C1270" s="7" t="s">
        <v>507</v>
      </c>
      <c r="D1270" s="8"/>
      <c r="E1270" s="47">
        <f>E1271</f>
        <v>252</v>
      </c>
    </row>
    <row r="1271" spans="1:8" x14ac:dyDescent="0.2">
      <c r="A1271" s="2" t="s">
        <v>944</v>
      </c>
      <c r="B1271" s="8" t="s">
        <v>87</v>
      </c>
      <c r="C1271" s="7" t="s">
        <v>507</v>
      </c>
      <c r="D1271" s="8">
        <v>610</v>
      </c>
      <c r="E1271" s="47">
        <v>252</v>
      </c>
      <c r="F1271" s="63"/>
    </row>
    <row r="1272" spans="1:8" ht="31.5" x14ac:dyDescent="0.2">
      <c r="A1272" s="39" t="s">
        <v>307</v>
      </c>
      <c r="B1272" s="8" t="s">
        <v>87</v>
      </c>
      <c r="C1272" s="7" t="s">
        <v>508</v>
      </c>
      <c r="D1272" s="8"/>
      <c r="E1272" s="47">
        <f>E1273</f>
        <v>851</v>
      </c>
    </row>
    <row r="1273" spans="1:8" ht="31.5" x14ac:dyDescent="0.2">
      <c r="A1273" s="1" t="s">
        <v>706</v>
      </c>
      <c r="B1273" s="8" t="s">
        <v>87</v>
      </c>
      <c r="C1273" s="7" t="s">
        <v>508</v>
      </c>
      <c r="D1273" s="8">
        <v>240</v>
      </c>
      <c r="E1273" s="47">
        <v>851</v>
      </c>
      <c r="F1273" s="111"/>
    </row>
    <row r="1274" spans="1:8" ht="47.25" x14ac:dyDescent="0.2">
      <c r="A1274" s="5" t="s">
        <v>252</v>
      </c>
      <c r="B1274" s="8" t="s">
        <v>87</v>
      </c>
      <c r="C1274" s="7" t="s">
        <v>509</v>
      </c>
      <c r="D1274" s="8" t="s">
        <v>0</v>
      </c>
      <c r="E1274" s="47">
        <f>E1275</f>
        <v>600</v>
      </c>
    </row>
    <row r="1275" spans="1:8" ht="47.25" x14ac:dyDescent="0.2">
      <c r="A1275" s="5" t="s">
        <v>252</v>
      </c>
      <c r="B1275" s="8" t="s">
        <v>87</v>
      </c>
      <c r="C1275" s="7" t="s">
        <v>510</v>
      </c>
      <c r="D1275" s="8"/>
      <c r="E1275" s="47">
        <f>E1276</f>
        <v>600</v>
      </c>
    </row>
    <row r="1276" spans="1:8" ht="31.5" x14ac:dyDescent="0.2">
      <c r="A1276" s="11" t="s">
        <v>101</v>
      </c>
      <c r="B1276" s="8" t="s">
        <v>87</v>
      </c>
      <c r="C1276" s="7" t="s">
        <v>510</v>
      </c>
      <c r="D1276" s="8">
        <v>630</v>
      </c>
      <c r="E1276" s="47">
        <v>600</v>
      </c>
      <c r="F1276" s="63"/>
    </row>
    <row r="1277" spans="1:8" ht="31.5" x14ac:dyDescent="0.2">
      <c r="A1277" s="11" t="s">
        <v>253</v>
      </c>
      <c r="B1277" s="8" t="s">
        <v>87</v>
      </c>
      <c r="C1277" s="7" t="s">
        <v>511</v>
      </c>
      <c r="D1277" s="8" t="s">
        <v>0</v>
      </c>
      <c r="E1277" s="47">
        <f>E1278</f>
        <v>1120</v>
      </c>
    </row>
    <row r="1278" spans="1:8" ht="31.5" x14ac:dyDescent="0.2">
      <c r="A1278" s="11" t="s">
        <v>253</v>
      </c>
      <c r="B1278" s="8" t="s">
        <v>87</v>
      </c>
      <c r="C1278" s="7" t="s">
        <v>512</v>
      </c>
      <c r="D1278" s="8"/>
      <c r="E1278" s="47">
        <f>E1279</f>
        <v>1120</v>
      </c>
    </row>
    <row r="1279" spans="1:8" x14ac:dyDescent="0.2">
      <c r="A1279" s="11" t="s">
        <v>714</v>
      </c>
      <c r="B1279" s="8" t="s">
        <v>87</v>
      </c>
      <c r="C1279" s="7" t="s">
        <v>512</v>
      </c>
      <c r="D1279" s="8">
        <v>310</v>
      </c>
      <c r="E1279" s="47">
        <v>1120</v>
      </c>
      <c r="F1279" s="63"/>
    </row>
    <row r="1280" spans="1:8" ht="24" customHeight="1" x14ac:dyDescent="0.2">
      <c r="A1280" s="39" t="s">
        <v>729</v>
      </c>
      <c r="B1280" s="8" t="s">
        <v>87</v>
      </c>
      <c r="C1280" s="36" t="s">
        <v>445</v>
      </c>
      <c r="D1280" s="35"/>
      <c r="E1280" s="47">
        <f>E1281</f>
        <v>10000</v>
      </c>
    </row>
    <row r="1281" spans="1:6" ht="63" x14ac:dyDescent="0.2">
      <c r="A1281" s="39" t="s">
        <v>730</v>
      </c>
      <c r="B1281" s="8" t="s">
        <v>87</v>
      </c>
      <c r="C1281" s="36" t="s">
        <v>1040</v>
      </c>
      <c r="D1281" s="35"/>
      <c r="E1281" s="47">
        <f>E1282</f>
        <v>10000</v>
      </c>
    </row>
    <row r="1282" spans="1:6" x14ac:dyDescent="0.2">
      <c r="A1282" s="11" t="s">
        <v>376</v>
      </c>
      <c r="B1282" s="8" t="s">
        <v>87</v>
      </c>
      <c r="C1282" s="36" t="s">
        <v>731</v>
      </c>
      <c r="D1282" s="35"/>
      <c r="E1282" s="47">
        <f>E1283</f>
        <v>10000</v>
      </c>
    </row>
    <row r="1283" spans="1:6" ht="31.5" x14ac:dyDescent="0.2">
      <c r="A1283" s="39" t="s">
        <v>51</v>
      </c>
      <c r="B1283" s="8" t="s">
        <v>87</v>
      </c>
      <c r="C1283" s="36" t="s">
        <v>731</v>
      </c>
      <c r="D1283" s="35">
        <v>412</v>
      </c>
      <c r="E1283" s="47">
        <v>10000</v>
      </c>
    </row>
    <row r="1284" spans="1:6" x14ac:dyDescent="0.2">
      <c r="A1284" s="16" t="s">
        <v>88</v>
      </c>
      <c r="B1284" s="224" t="s">
        <v>89</v>
      </c>
      <c r="C1284" s="224" t="s">
        <v>0</v>
      </c>
      <c r="D1284" s="224" t="s">
        <v>0</v>
      </c>
      <c r="E1284" s="225">
        <f>E1285+E1301+E1324</f>
        <v>220088.5</v>
      </c>
    </row>
    <row r="1285" spans="1:6" x14ac:dyDescent="0.2">
      <c r="A1285" s="34" t="s">
        <v>791</v>
      </c>
      <c r="B1285" s="51">
        <v>1101</v>
      </c>
      <c r="C1285" s="50"/>
      <c r="D1285" s="51"/>
      <c r="E1285" s="182">
        <f>E1286+E1291+E1296</f>
        <v>6326.3</v>
      </c>
    </row>
    <row r="1286" spans="1:6" ht="47.25" x14ac:dyDescent="0.2">
      <c r="A1286" s="34" t="s">
        <v>233</v>
      </c>
      <c r="B1286" s="8">
        <v>1101</v>
      </c>
      <c r="C1286" s="36" t="s">
        <v>514</v>
      </c>
      <c r="D1286" s="35" t="s">
        <v>0</v>
      </c>
      <c r="E1286" s="47">
        <f>E1287</f>
        <v>212.8</v>
      </c>
    </row>
    <row r="1287" spans="1:6" x14ac:dyDescent="0.2">
      <c r="A1287" s="34" t="s">
        <v>254</v>
      </c>
      <c r="B1287" s="8">
        <v>1101</v>
      </c>
      <c r="C1287" s="36" t="s">
        <v>515</v>
      </c>
      <c r="D1287" s="35" t="s">
        <v>0</v>
      </c>
      <c r="E1287" s="47">
        <f>E1288</f>
        <v>212.8</v>
      </c>
    </row>
    <row r="1288" spans="1:6" ht="31.5" x14ac:dyDescent="0.2">
      <c r="A1288" s="39" t="s">
        <v>307</v>
      </c>
      <c r="B1288" s="8">
        <v>1101</v>
      </c>
      <c r="C1288" s="36" t="s">
        <v>516</v>
      </c>
      <c r="D1288" s="35"/>
      <c r="E1288" s="47">
        <f>E1290+E1289</f>
        <v>212.8</v>
      </c>
    </row>
    <row r="1289" spans="1:6" ht="31.5" x14ac:dyDescent="0.2">
      <c r="A1289" s="2" t="s">
        <v>710</v>
      </c>
      <c r="B1289" s="8">
        <v>1101</v>
      </c>
      <c r="C1289" s="36" t="s">
        <v>516</v>
      </c>
      <c r="D1289" s="35">
        <v>120</v>
      </c>
      <c r="E1289" s="47">
        <v>70.400000000000006</v>
      </c>
    </row>
    <row r="1290" spans="1:6" ht="31.5" x14ac:dyDescent="0.2">
      <c r="A1290" s="1" t="s">
        <v>706</v>
      </c>
      <c r="B1290" s="8">
        <v>1101</v>
      </c>
      <c r="C1290" s="36" t="s">
        <v>516</v>
      </c>
      <c r="D1290" s="35">
        <v>240</v>
      </c>
      <c r="E1290" s="47">
        <v>142.4</v>
      </c>
      <c r="F1290" s="111"/>
    </row>
    <row r="1291" spans="1:6" ht="63" x14ac:dyDescent="0.2">
      <c r="A1291" s="34" t="s">
        <v>118</v>
      </c>
      <c r="B1291" s="8">
        <v>1101</v>
      </c>
      <c r="C1291" s="36" t="s">
        <v>431</v>
      </c>
      <c r="D1291" s="35" t="s">
        <v>0</v>
      </c>
      <c r="E1291" s="47">
        <f>E1292</f>
        <v>113.5</v>
      </c>
    </row>
    <row r="1292" spans="1:6" ht="47.25" x14ac:dyDescent="0.2">
      <c r="A1292" s="34" t="s">
        <v>119</v>
      </c>
      <c r="B1292" s="8">
        <v>1101</v>
      </c>
      <c r="C1292" s="36" t="s">
        <v>432</v>
      </c>
      <c r="D1292" s="35" t="s">
        <v>0</v>
      </c>
      <c r="E1292" s="47">
        <f>E1293</f>
        <v>113.5</v>
      </c>
    </row>
    <row r="1293" spans="1:6" ht="31.5" x14ac:dyDescent="0.2">
      <c r="A1293" s="34" t="s">
        <v>528</v>
      </c>
      <c r="B1293" s="8">
        <v>1101</v>
      </c>
      <c r="C1293" s="36" t="s">
        <v>529</v>
      </c>
      <c r="D1293" s="35" t="s">
        <v>0</v>
      </c>
      <c r="E1293" s="47">
        <f>E1294</f>
        <v>113.5</v>
      </c>
    </row>
    <row r="1294" spans="1:6" ht="31.5" x14ac:dyDescent="0.2">
      <c r="A1294" s="39" t="s">
        <v>307</v>
      </c>
      <c r="B1294" s="8">
        <v>1101</v>
      </c>
      <c r="C1294" s="36" t="s">
        <v>530</v>
      </c>
      <c r="D1294" s="35"/>
      <c r="E1294" s="47">
        <f>E1295</f>
        <v>113.5</v>
      </c>
    </row>
    <row r="1295" spans="1:6" ht="31.5" x14ac:dyDescent="0.2">
      <c r="A1295" s="1" t="s">
        <v>706</v>
      </c>
      <c r="B1295" s="8">
        <v>1101</v>
      </c>
      <c r="C1295" s="36" t="s">
        <v>530</v>
      </c>
      <c r="D1295" s="35">
        <v>240</v>
      </c>
      <c r="E1295" s="47">
        <v>113.5</v>
      </c>
      <c r="F1295" s="117"/>
    </row>
    <row r="1296" spans="1:6" ht="47.25" x14ac:dyDescent="0.2">
      <c r="A1296" s="34" t="s">
        <v>127</v>
      </c>
      <c r="B1296" s="8">
        <v>1101</v>
      </c>
      <c r="C1296" s="36" t="s">
        <v>292</v>
      </c>
      <c r="D1296" s="35" t="s">
        <v>0</v>
      </c>
      <c r="E1296" s="47">
        <f>E1297</f>
        <v>6000</v>
      </c>
    </row>
    <row r="1297" spans="1:8" x14ac:dyDescent="0.2">
      <c r="A1297" s="34" t="s">
        <v>214</v>
      </c>
      <c r="B1297" s="8">
        <v>1101</v>
      </c>
      <c r="C1297" s="36" t="s">
        <v>416</v>
      </c>
      <c r="D1297" s="35" t="s">
        <v>0</v>
      </c>
      <c r="E1297" s="47">
        <f>E1298</f>
        <v>6000</v>
      </c>
    </row>
    <row r="1298" spans="1:8" ht="31.5" x14ac:dyDescent="0.2">
      <c r="A1298" s="39" t="s">
        <v>307</v>
      </c>
      <c r="B1298" s="8">
        <v>1101</v>
      </c>
      <c r="C1298" s="36" t="s">
        <v>531</v>
      </c>
      <c r="D1298" s="35"/>
      <c r="E1298" s="47">
        <f>E1299+E1300</f>
        <v>6000</v>
      </c>
    </row>
    <row r="1299" spans="1:8" ht="31.5" x14ac:dyDescent="0.2">
      <c r="A1299" s="2" t="s">
        <v>710</v>
      </c>
      <c r="B1299" s="8">
        <v>1101</v>
      </c>
      <c r="C1299" s="7" t="s">
        <v>531</v>
      </c>
      <c r="D1299" s="8">
        <v>120</v>
      </c>
      <c r="E1299" s="47">
        <v>500</v>
      </c>
      <c r="F1299" s="117"/>
    </row>
    <row r="1300" spans="1:8" ht="31.5" x14ac:dyDescent="0.2">
      <c r="A1300" s="1" t="s">
        <v>706</v>
      </c>
      <c r="B1300" s="8">
        <v>1101</v>
      </c>
      <c r="C1300" s="7" t="s">
        <v>531</v>
      </c>
      <c r="D1300" s="8">
        <v>240</v>
      </c>
      <c r="E1300" s="47">
        <v>5500</v>
      </c>
      <c r="F1300" s="111"/>
    </row>
    <row r="1301" spans="1:8" x14ac:dyDescent="0.2">
      <c r="A1301" s="20" t="s">
        <v>90</v>
      </c>
      <c r="B1301" s="18" t="s">
        <v>91</v>
      </c>
      <c r="C1301" s="15" t="s">
        <v>0</v>
      </c>
      <c r="D1301" s="18" t="s">
        <v>0</v>
      </c>
      <c r="E1301" s="182">
        <f>E1302</f>
        <v>167012.1</v>
      </c>
    </row>
    <row r="1302" spans="1:8" ht="47.25" x14ac:dyDescent="0.2">
      <c r="A1302" s="11" t="s">
        <v>127</v>
      </c>
      <c r="B1302" s="8" t="s">
        <v>91</v>
      </c>
      <c r="C1302" s="7" t="s">
        <v>292</v>
      </c>
      <c r="D1302" s="8" t="s">
        <v>0</v>
      </c>
      <c r="E1302" s="47">
        <f>E1303+E1312+E1317</f>
        <v>167012.1</v>
      </c>
    </row>
    <row r="1303" spans="1:8" x14ac:dyDescent="0.2">
      <c r="A1303" s="11" t="s">
        <v>214</v>
      </c>
      <c r="B1303" s="8" t="s">
        <v>91</v>
      </c>
      <c r="C1303" s="7" t="s">
        <v>416</v>
      </c>
      <c r="D1303" s="8"/>
      <c r="E1303" s="47">
        <f>E1304+E1306+E1310+E1308</f>
        <v>50423.7</v>
      </c>
    </row>
    <row r="1304" spans="1:8" ht="31.5" x14ac:dyDescent="0.2">
      <c r="A1304" s="11" t="s">
        <v>302</v>
      </c>
      <c r="B1304" s="8">
        <v>1102</v>
      </c>
      <c r="C1304" s="7" t="s">
        <v>599</v>
      </c>
      <c r="D1304" s="8"/>
      <c r="E1304" s="47">
        <f>E1305</f>
        <v>44118.7</v>
      </c>
    </row>
    <row r="1305" spans="1:8" x14ac:dyDescent="0.2">
      <c r="A1305" s="2" t="s">
        <v>944</v>
      </c>
      <c r="B1305" s="8" t="s">
        <v>91</v>
      </c>
      <c r="C1305" s="7" t="s">
        <v>599</v>
      </c>
      <c r="D1305" s="8">
        <v>610</v>
      </c>
      <c r="E1305" s="47">
        <f>26386.6+12354.6+323.4+5054.1</f>
        <v>44118.7</v>
      </c>
      <c r="F1305" s="111"/>
      <c r="G1305" s="143"/>
      <c r="H1305" s="143"/>
    </row>
    <row r="1306" spans="1:8" ht="47.25" x14ac:dyDescent="0.2">
      <c r="A1306" s="39" t="s">
        <v>871</v>
      </c>
      <c r="B1306" s="35" t="s">
        <v>91</v>
      </c>
      <c r="C1306" s="36" t="s">
        <v>779</v>
      </c>
      <c r="D1306" s="35"/>
      <c r="E1306" s="47">
        <f>E1307</f>
        <v>110</v>
      </c>
    </row>
    <row r="1307" spans="1:8" x14ac:dyDescent="0.2">
      <c r="A1307" s="2" t="s">
        <v>944</v>
      </c>
      <c r="B1307" s="35" t="s">
        <v>91</v>
      </c>
      <c r="C1307" s="36" t="s">
        <v>779</v>
      </c>
      <c r="D1307" s="8">
        <v>610</v>
      </c>
      <c r="E1307" s="47">
        <v>110</v>
      </c>
      <c r="F1307" s="112"/>
    </row>
    <row r="1308" spans="1:8" ht="31.5" x14ac:dyDescent="0.2">
      <c r="A1308" s="5" t="s">
        <v>985</v>
      </c>
      <c r="B1308" s="35" t="s">
        <v>91</v>
      </c>
      <c r="C1308" s="7" t="s">
        <v>986</v>
      </c>
      <c r="D1308" s="8"/>
      <c r="E1308" s="201">
        <f>E1309</f>
        <v>6012.7</v>
      </c>
      <c r="F1308" s="112"/>
    </row>
    <row r="1309" spans="1:8" x14ac:dyDescent="0.2">
      <c r="A1309" s="39" t="s">
        <v>944</v>
      </c>
      <c r="B1309" s="35" t="s">
        <v>91</v>
      </c>
      <c r="C1309" s="36" t="s">
        <v>986</v>
      </c>
      <c r="D1309" s="35">
        <v>610</v>
      </c>
      <c r="E1309" s="201">
        <v>6012.7</v>
      </c>
      <c r="F1309" s="112"/>
    </row>
    <row r="1310" spans="1:8" ht="31.5" x14ac:dyDescent="0.2">
      <c r="A1310" s="32" t="s">
        <v>911</v>
      </c>
      <c r="B1310" s="8" t="s">
        <v>91</v>
      </c>
      <c r="C1310" s="7" t="s">
        <v>600</v>
      </c>
      <c r="D1310" s="8"/>
      <c r="E1310" s="47">
        <f>E1311</f>
        <v>182.3</v>
      </c>
    </row>
    <row r="1311" spans="1:8" x14ac:dyDescent="0.2">
      <c r="A1311" s="2" t="s">
        <v>944</v>
      </c>
      <c r="B1311" s="8" t="s">
        <v>91</v>
      </c>
      <c r="C1311" s="7" t="s">
        <v>600</v>
      </c>
      <c r="D1311" s="8">
        <v>610</v>
      </c>
      <c r="E1311" s="47">
        <v>182.3</v>
      </c>
    </row>
    <row r="1312" spans="1:8" ht="31.5" x14ac:dyDescent="0.2">
      <c r="A1312" s="11" t="s">
        <v>128</v>
      </c>
      <c r="B1312" s="35" t="s">
        <v>91</v>
      </c>
      <c r="C1312" s="197" t="s">
        <v>426</v>
      </c>
      <c r="D1312" s="253"/>
      <c r="E1312" s="201">
        <f>E1315+E1313</f>
        <v>11606.6</v>
      </c>
    </row>
    <row r="1313" spans="1:8" ht="31.5" x14ac:dyDescent="0.2">
      <c r="A1313" s="11" t="s">
        <v>302</v>
      </c>
      <c r="B1313" s="35" t="s">
        <v>91</v>
      </c>
      <c r="C1313" s="197" t="s">
        <v>601</v>
      </c>
      <c r="D1313" s="253"/>
      <c r="E1313" s="201">
        <f>E1314</f>
        <v>11556</v>
      </c>
    </row>
    <row r="1314" spans="1:8" x14ac:dyDescent="0.2">
      <c r="A1314" s="39" t="s">
        <v>944</v>
      </c>
      <c r="B1314" s="35" t="s">
        <v>91</v>
      </c>
      <c r="C1314" s="197" t="s">
        <v>601</v>
      </c>
      <c r="D1314" s="253">
        <v>610</v>
      </c>
      <c r="E1314" s="194">
        <f>8928+2628</f>
        <v>11556</v>
      </c>
      <c r="F1314" s="117"/>
      <c r="G1314" s="126"/>
      <c r="H1314" s="117"/>
    </row>
    <row r="1315" spans="1:8" ht="31.5" x14ac:dyDescent="0.2">
      <c r="A1315" s="32" t="s">
        <v>976</v>
      </c>
      <c r="B1315" s="35" t="s">
        <v>91</v>
      </c>
      <c r="C1315" s="36" t="s">
        <v>915</v>
      </c>
      <c r="D1315" s="21"/>
      <c r="E1315" s="47">
        <f>E1316</f>
        <v>50.6</v>
      </c>
    </row>
    <row r="1316" spans="1:8" x14ac:dyDescent="0.2">
      <c r="A1316" s="39" t="s">
        <v>944</v>
      </c>
      <c r="B1316" s="35" t="s">
        <v>91</v>
      </c>
      <c r="C1316" s="36" t="s">
        <v>915</v>
      </c>
      <c r="D1316" s="21">
        <v>610</v>
      </c>
      <c r="E1316" s="47">
        <v>50.6</v>
      </c>
      <c r="F1316" s="63"/>
    </row>
    <row r="1317" spans="1:8" ht="47.25" x14ac:dyDescent="0.2">
      <c r="A1317" s="5" t="s">
        <v>598</v>
      </c>
      <c r="B1317" s="8" t="s">
        <v>91</v>
      </c>
      <c r="C1317" s="7" t="s">
        <v>293</v>
      </c>
      <c r="D1317" s="8" t="s">
        <v>0</v>
      </c>
      <c r="E1317" s="47">
        <f>E1322+E1320+E1318</f>
        <v>104981.8</v>
      </c>
    </row>
    <row r="1318" spans="1:8" x14ac:dyDescent="0.2">
      <c r="A1318" s="258" t="s">
        <v>1076</v>
      </c>
      <c r="B1318" s="8" t="s">
        <v>91</v>
      </c>
      <c r="C1318" s="7" t="s">
        <v>1081</v>
      </c>
      <c r="D1318" s="8"/>
      <c r="E1318" s="47">
        <f>E1319</f>
        <v>384.7</v>
      </c>
    </row>
    <row r="1319" spans="1:8" ht="31.5" x14ac:dyDescent="0.2">
      <c r="A1319" s="5" t="s">
        <v>157</v>
      </c>
      <c r="B1319" s="8" t="s">
        <v>91</v>
      </c>
      <c r="C1319" s="7" t="s">
        <v>1081</v>
      </c>
      <c r="D1319" s="8">
        <v>414</v>
      </c>
      <c r="E1319" s="47">
        <v>384.7</v>
      </c>
    </row>
    <row r="1320" spans="1:8" ht="34.5" customHeight="1" x14ac:dyDescent="0.2">
      <c r="A1320" s="11" t="s">
        <v>722</v>
      </c>
      <c r="B1320" s="8" t="s">
        <v>91</v>
      </c>
      <c r="C1320" s="7" t="s">
        <v>723</v>
      </c>
      <c r="D1320" s="8"/>
      <c r="E1320" s="47">
        <f>E1321</f>
        <v>71608</v>
      </c>
    </row>
    <row r="1321" spans="1:8" ht="31.5" x14ac:dyDescent="0.2">
      <c r="A1321" s="11" t="s">
        <v>157</v>
      </c>
      <c r="B1321" s="8" t="s">
        <v>91</v>
      </c>
      <c r="C1321" s="7" t="s">
        <v>723</v>
      </c>
      <c r="D1321" s="8">
        <v>414</v>
      </c>
      <c r="E1321" s="47">
        <v>71608</v>
      </c>
      <c r="F1321" s="75"/>
    </row>
    <row r="1322" spans="1:8" ht="47.25" x14ac:dyDescent="0.2">
      <c r="A1322" s="11" t="s">
        <v>716</v>
      </c>
      <c r="B1322" s="8" t="s">
        <v>91</v>
      </c>
      <c r="C1322" s="7" t="s">
        <v>720</v>
      </c>
      <c r="D1322" s="8"/>
      <c r="E1322" s="47">
        <f>E1323</f>
        <v>32989.1</v>
      </c>
    </row>
    <row r="1323" spans="1:8" ht="31.5" x14ac:dyDescent="0.2">
      <c r="A1323" s="11" t="s">
        <v>157</v>
      </c>
      <c r="B1323" s="8" t="s">
        <v>91</v>
      </c>
      <c r="C1323" s="7" t="s">
        <v>720</v>
      </c>
      <c r="D1323" s="8">
        <v>414</v>
      </c>
      <c r="E1323" s="47">
        <f>30689.1+2300</f>
        <v>32989.1</v>
      </c>
      <c r="F1323" s="75"/>
    </row>
    <row r="1324" spans="1:8" x14ac:dyDescent="0.2">
      <c r="A1324" s="20" t="s">
        <v>92</v>
      </c>
      <c r="B1324" s="18" t="s">
        <v>93</v>
      </c>
      <c r="C1324" s="15" t="s">
        <v>0</v>
      </c>
      <c r="D1324" s="18" t="s">
        <v>0</v>
      </c>
      <c r="E1324" s="182">
        <f>E1325+E1331+E1342</f>
        <v>46750.1</v>
      </c>
    </row>
    <row r="1325" spans="1:8" ht="47.25" x14ac:dyDescent="0.2">
      <c r="A1325" s="11" t="s">
        <v>112</v>
      </c>
      <c r="B1325" s="8" t="s">
        <v>93</v>
      </c>
      <c r="C1325" s="7" t="s">
        <v>329</v>
      </c>
      <c r="D1325" s="8" t="s">
        <v>0</v>
      </c>
      <c r="E1325" s="47">
        <f>E1326</f>
        <v>25</v>
      </c>
    </row>
    <row r="1326" spans="1:8" x14ac:dyDescent="0.2">
      <c r="A1326" s="11" t="s">
        <v>113</v>
      </c>
      <c r="B1326" s="8" t="s">
        <v>93</v>
      </c>
      <c r="C1326" s="7" t="s">
        <v>328</v>
      </c>
      <c r="D1326" s="8" t="s">
        <v>0</v>
      </c>
      <c r="E1326" s="47">
        <f>E1327+E1329</f>
        <v>25</v>
      </c>
    </row>
    <row r="1327" spans="1:8" ht="31.5" x14ac:dyDescent="0.2">
      <c r="A1327" s="11" t="s">
        <v>332</v>
      </c>
      <c r="B1327" s="8" t="s">
        <v>93</v>
      </c>
      <c r="C1327" s="7" t="s">
        <v>377</v>
      </c>
      <c r="D1327" s="8"/>
      <c r="E1327" s="47">
        <f>E1328</f>
        <v>25</v>
      </c>
    </row>
    <row r="1328" spans="1:8" ht="31.5" x14ac:dyDescent="0.2">
      <c r="A1328" s="2" t="s">
        <v>710</v>
      </c>
      <c r="B1328" s="8" t="s">
        <v>93</v>
      </c>
      <c r="C1328" s="7" t="s">
        <v>377</v>
      </c>
      <c r="D1328" s="8">
        <v>120</v>
      </c>
      <c r="E1328" s="47">
        <v>25</v>
      </c>
    </row>
    <row r="1329" spans="1:7" ht="31.5" x14ac:dyDescent="0.2">
      <c r="A1329" s="1" t="s">
        <v>378</v>
      </c>
      <c r="B1329" s="8" t="s">
        <v>93</v>
      </c>
      <c r="C1329" s="7" t="s">
        <v>379</v>
      </c>
      <c r="D1329" s="9"/>
      <c r="E1329" s="47">
        <f>E1330</f>
        <v>0</v>
      </c>
    </row>
    <row r="1330" spans="1:7" ht="31.5" x14ac:dyDescent="0.2">
      <c r="A1330" s="1" t="s">
        <v>706</v>
      </c>
      <c r="B1330" s="8" t="s">
        <v>93</v>
      </c>
      <c r="C1330" s="7" t="s">
        <v>379</v>
      </c>
      <c r="D1330" s="9">
        <v>240</v>
      </c>
      <c r="E1330" s="47">
        <f>25-25</f>
        <v>0</v>
      </c>
      <c r="F1330" s="56"/>
    </row>
    <row r="1331" spans="1:7" ht="47.25" x14ac:dyDescent="0.2">
      <c r="A1331" s="11" t="s">
        <v>127</v>
      </c>
      <c r="B1331" s="8" t="s">
        <v>93</v>
      </c>
      <c r="C1331" s="7" t="s">
        <v>292</v>
      </c>
      <c r="D1331" s="8" t="s">
        <v>0</v>
      </c>
      <c r="E1331" s="47">
        <f>E1332+E1337</f>
        <v>16688.099999999999</v>
      </c>
    </row>
    <row r="1332" spans="1:7" x14ac:dyDescent="0.2">
      <c r="A1332" s="11" t="s">
        <v>214</v>
      </c>
      <c r="B1332" s="8" t="s">
        <v>93</v>
      </c>
      <c r="C1332" s="7" t="s">
        <v>416</v>
      </c>
      <c r="D1332" s="8" t="s">
        <v>0</v>
      </c>
      <c r="E1332" s="47">
        <f>E1333+E1335</f>
        <v>290</v>
      </c>
    </row>
    <row r="1333" spans="1:7" ht="31.5" x14ac:dyDescent="0.2">
      <c r="A1333" s="39" t="s">
        <v>307</v>
      </c>
      <c r="B1333" s="8" t="s">
        <v>93</v>
      </c>
      <c r="C1333" s="7" t="s">
        <v>531</v>
      </c>
      <c r="D1333" s="8"/>
      <c r="E1333" s="47">
        <f>E1334</f>
        <v>200</v>
      </c>
    </row>
    <row r="1334" spans="1:7" ht="31.5" x14ac:dyDescent="0.2">
      <c r="A1334" s="1" t="s">
        <v>706</v>
      </c>
      <c r="B1334" s="8" t="s">
        <v>93</v>
      </c>
      <c r="C1334" s="7" t="s">
        <v>531</v>
      </c>
      <c r="D1334" s="8">
        <v>240</v>
      </c>
      <c r="E1334" s="47">
        <v>200</v>
      </c>
      <c r="F1334" s="111"/>
    </row>
    <row r="1335" spans="1:7" ht="63" x14ac:dyDescent="0.2">
      <c r="A1335" s="11" t="s">
        <v>672</v>
      </c>
      <c r="B1335" s="8" t="s">
        <v>93</v>
      </c>
      <c r="C1335" s="7" t="s">
        <v>536</v>
      </c>
      <c r="D1335" s="8"/>
      <c r="E1335" s="47">
        <f>E1336</f>
        <v>90</v>
      </c>
    </row>
    <row r="1336" spans="1:7" x14ac:dyDescent="0.2">
      <c r="A1336" s="5" t="s">
        <v>22</v>
      </c>
      <c r="B1336" s="8" t="s">
        <v>93</v>
      </c>
      <c r="C1336" s="7" t="s">
        <v>536</v>
      </c>
      <c r="D1336" s="8">
        <v>350</v>
      </c>
      <c r="E1336" s="47">
        <v>90</v>
      </c>
    </row>
    <row r="1337" spans="1:7" ht="47.25" x14ac:dyDescent="0.2">
      <c r="A1337" s="5" t="s">
        <v>896</v>
      </c>
      <c r="B1337" s="8" t="s">
        <v>93</v>
      </c>
      <c r="C1337" s="7" t="s">
        <v>881</v>
      </c>
      <c r="D1337" s="8" t="s">
        <v>0</v>
      </c>
      <c r="E1337" s="47">
        <f>E1338</f>
        <v>16398.099999999999</v>
      </c>
    </row>
    <row r="1338" spans="1:7" ht="31.5" x14ac:dyDescent="0.2">
      <c r="A1338" s="11" t="s">
        <v>302</v>
      </c>
      <c r="B1338" s="8" t="s">
        <v>93</v>
      </c>
      <c r="C1338" s="7" t="s">
        <v>882</v>
      </c>
      <c r="D1338" s="8"/>
      <c r="E1338" s="47">
        <f>E1339+E1340+E1341</f>
        <v>16398.099999999999</v>
      </c>
    </row>
    <row r="1339" spans="1:7" x14ac:dyDescent="0.2">
      <c r="A1339" s="11" t="s">
        <v>711</v>
      </c>
      <c r="B1339" s="8" t="s">
        <v>93</v>
      </c>
      <c r="C1339" s="7" t="s">
        <v>882</v>
      </c>
      <c r="D1339" s="8">
        <v>110</v>
      </c>
      <c r="E1339" s="47">
        <f>15108+570.4</f>
        <v>15678.4</v>
      </c>
      <c r="F1339" s="105"/>
      <c r="G1339" s="38"/>
    </row>
    <row r="1340" spans="1:7" ht="31.5" x14ac:dyDescent="0.2">
      <c r="A1340" s="1" t="s">
        <v>706</v>
      </c>
      <c r="B1340" s="8" t="s">
        <v>93</v>
      </c>
      <c r="C1340" s="7" t="s">
        <v>882</v>
      </c>
      <c r="D1340" s="8">
        <v>240</v>
      </c>
      <c r="E1340" s="47">
        <v>696.7</v>
      </c>
      <c r="F1340" s="105"/>
    </row>
    <row r="1341" spans="1:7" x14ac:dyDescent="0.2">
      <c r="A1341" s="11" t="s">
        <v>712</v>
      </c>
      <c r="B1341" s="8" t="s">
        <v>93</v>
      </c>
      <c r="C1341" s="7" t="s">
        <v>882</v>
      </c>
      <c r="D1341" s="8">
        <v>850</v>
      </c>
      <c r="E1341" s="47">
        <v>23</v>
      </c>
      <c r="F1341" s="105"/>
    </row>
    <row r="1342" spans="1:7" ht="31.5" x14ac:dyDescent="0.2">
      <c r="A1342" s="11" t="s">
        <v>110</v>
      </c>
      <c r="B1342" s="8" t="s">
        <v>93</v>
      </c>
      <c r="C1342" s="7" t="s">
        <v>344</v>
      </c>
      <c r="D1342" s="8" t="s">
        <v>0</v>
      </c>
      <c r="E1342" s="47">
        <f>E1343</f>
        <v>30037</v>
      </c>
    </row>
    <row r="1343" spans="1:7" ht="31.5" x14ac:dyDescent="0.2">
      <c r="A1343" s="11" t="s">
        <v>495</v>
      </c>
      <c r="B1343" s="8" t="s">
        <v>93</v>
      </c>
      <c r="C1343" s="7" t="s">
        <v>492</v>
      </c>
      <c r="D1343" s="8" t="s">
        <v>0</v>
      </c>
      <c r="E1343" s="47">
        <f>E1344</f>
        <v>30037</v>
      </c>
    </row>
    <row r="1344" spans="1:7" x14ac:dyDescent="0.2">
      <c r="A1344" s="11" t="s">
        <v>9</v>
      </c>
      <c r="B1344" s="8" t="s">
        <v>93</v>
      </c>
      <c r="C1344" s="7" t="s">
        <v>493</v>
      </c>
      <c r="D1344" s="8"/>
      <c r="E1344" s="47">
        <f>E1345</f>
        <v>30037</v>
      </c>
    </row>
    <row r="1345" spans="1:6" x14ac:dyDescent="0.2">
      <c r="A1345" s="11" t="s">
        <v>749</v>
      </c>
      <c r="B1345" s="8" t="s">
        <v>93</v>
      </c>
      <c r="C1345" s="7" t="s">
        <v>494</v>
      </c>
      <c r="D1345" s="8"/>
      <c r="E1345" s="47">
        <f>E1346</f>
        <v>30037</v>
      </c>
    </row>
    <row r="1346" spans="1:6" ht="31.5" x14ac:dyDescent="0.2">
      <c r="A1346" s="2" t="s">
        <v>710</v>
      </c>
      <c r="B1346" s="8" t="s">
        <v>93</v>
      </c>
      <c r="C1346" s="7" t="s">
        <v>494</v>
      </c>
      <c r="D1346" s="8">
        <v>120</v>
      </c>
      <c r="E1346" s="47">
        <f>29063.8+973.2</f>
        <v>30037</v>
      </c>
      <c r="F1346" s="82"/>
    </row>
    <row r="1347" spans="1:6" x14ac:dyDescent="0.2">
      <c r="A1347" s="16" t="s">
        <v>94</v>
      </c>
      <c r="B1347" s="224" t="s">
        <v>95</v>
      </c>
      <c r="C1347" s="224" t="s">
        <v>0</v>
      </c>
      <c r="D1347" s="224" t="s">
        <v>0</v>
      </c>
      <c r="E1347" s="225">
        <f>E1349+E1357</f>
        <v>48848</v>
      </c>
    </row>
    <row r="1348" spans="1:6" x14ac:dyDescent="0.2">
      <c r="A1348" s="20" t="s">
        <v>96</v>
      </c>
      <c r="B1348" s="18" t="s">
        <v>97</v>
      </c>
      <c r="C1348" s="15" t="s">
        <v>0</v>
      </c>
      <c r="D1348" s="18" t="s">
        <v>0</v>
      </c>
      <c r="E1348" s="182">
        <f>E1349</f>
        <v>20826</v>
      </c>
    </row>
    <row r="1349" spans="1:6" ht="47.25" x14ac:dyDescent="0.2">
      <c r="A1349" s="11" t="s">
        <v>130</v>
      </c>
      <c r="B1349" s="8" t="s">
        <v>97</v>
      </c>
      <c r="C1349" s="7" t="s">
        <v>449</v>
      </c>
      <c r="D1349" s="8" t="s">
        <v>0</v>
      </c>
      <c r="E1349" s="47">
        <f>E1350</f>
        <v>20826</v>
      </c>
    </row>
    <row r="1350" spans="1:6" ht="47.25" x14ac:dyDescent="0.2">
      <c r="A1350" s="11" t="s">
        <v>136</v>
      </c>
      <c r="B1350" s="8" t="s">
        <v>97</v>
      </c>
      <c r="C1350" s="7" t="s">
        <v>546</v>
      </c>
      <c r="D1350" s="8" t="s">
        <v>0</v>
      </c>
      <c r="E1350" s="47">
        <f>E1351</f>
        <v>20826</v>
      </c>
    </row>
    <row r="1351" spans="1:6" ht="31.5" x14ac:dyDescent="0.2">
      <c r="A1351" s="11" t="s">
        <v>679</v>
      </c>
      <c r="B1351" s="8" t="s">
        <v>97</v>
      </c>
      <c r="C1351" s="7" t="s">
        <v>547</v>
      </c>
      <c r="D1351" s="8" t="s">
        <v>0</v>
      </c>
      <c r="E1351" s="47">
        <f>E1352+E1354</f>
        <v>20826</v>
      </c>
    </row>
    <row r="1352" spans="1:6" ht="31.5" x14ac:dyDescent="0.2">
      <c r="A1352" s="11" t="s">
        <v>302</v>
      </c>
      <c r="B1352" s="8" t="s">
        <v>97</v>
      </c>
      <c r="C1352" s="7" t="s">
        <v>621</v>
      </c>
      <c r="D1352" s="8"/>
      <c r="E1352" s="47">
        <f>E1353</f>
        <v>250</v>
      </c>
    </row>
    <row r="1353" spans="1:6" x14ac:dyDescent="0.2">
      <c r="A1353" s="2" t="s">
        <v>945</v>
      </c>
      <c r="B1353" s="9" t="s">
        <v>97</v>
      </c>
      <c r="C1353" s="7" t="s">
        <v>621</v>
      </c>
      <c r="D1353" s="8">
        <v>620</v>
      </c>
      <c r="E1353" s="47">
        <v>250</v>
      </c>
      <c r="F1353" s="56"/>
    </row>
    <row r="1354" spans="1:6" ht="63" x14ac:dyDescent="0.2">
      <c r="A1354" s="11" t="s">
        <v>826</v>
      </c>
      <c r="B1354" s="9">
        <v>1202</v>
      </c>
      <c r="C1354" s="7" t="s">
        <v>825</v>
      </c>
      <c r="D1354" s="8"/>
      <c r="E1354" s="47">
        <f>E1355</f>
        <v>20576</v>
      </c>
      <c r="F1354" s="56"/>
    </row>
    <row r="1355" spans="1:6" x14ac:dyDescent="0.2">
      <c r="A1355" s="2" t="s">
        <v>945</v>
      </c>
      <c r="B1355" s="9">
        <v>1202</v>
      </c>
      <c r="C1355" s="7" t="s">
        <v>825</v>
      </c>
      <c r="D1355" s="8">
        <v>620</v>
      </c>
      <c r="E1355" s="47">
        <f>20291+285</f>
        <v>20576</v>
      </c>
      <c r="F1355" s="132"/>
    </row>
    <row r="1356" spans="1:6" x14ac:dyDescent="0.2">
      <c r="A1356" s="20" t="s">
        <v>537</v>
      </c>
      <c r="B1356" s="15">
        <v>1204</v>
      </c>
      <c r="C1356" s="15" t="s">
        <v>0</v>
      </c>
      <c r="D1356" s="18" t="s">
        <v>0</v>
      </c>
      <c r="E1356" s="182">
        <f>E1357</f>
        <v>28022</v>
      </c>
    </row>
    <row r="1357" spans="1:6" ht="47.25" x14ac:dyDescent="0.2">
      <c r="A1357" s="2" t="s">
        <v>130</v>
      </c>
      <c r="B1357" s="7">
        <v>1204</v>
      </c>
      <c r="C1357" s="7" t="s">
        <v>449</v>
      </c>
      <c r="D1357" s="8" t="s">
        <v>0</v>
      </c>
      <c r="E1357" s="47">
        <f>E1358</f>
        <v>28022</v>
      </c>
    </row>
    <row r="1358" spans="1:6" ht="47.25" x14ac:dyDescent="0.2">
      <c r="A1358" s="2" t="s">
        <v>136</v>
      </c>
      <c r="B1358" s="7">
        <v>1204</v>
      </c>
      <c r="C1358" s="7" t="s">
        <v>546</v>
      </c>
      <c r="D1358" s="8" t="s">
        <v>0</v>
      </c>
      <c r="E1358" s="47">
        <f>E1359+E1362</f>
        <v>28022</v>
      </c>
    </row>
    <row r="1359" spans="1:6" ht="31.5" x14ac:dyDescent="0.2">
      <c r="A1359" s="2" t="s">
        <v>679</v>
      </c>
      <c r="B1359" s="7">
        <v>1204</v>
      </c>
      <c r="C1359" s="7" t="s">
        <v>547</v>
      </c>
      <c r="D1359" s="8" t="s">
        <v>0</v>
      </c>
      <c r="E1359" s="47">
        <f>SUM(E1360)</f>
        <v>25017.4</v>
      </c>
    </row>
    <row r="1360" spans="1:6" ht="31.5" x14ac:dyDescent="0.2">
      <c r="A1360" s="39" t="s">
        <v>307</v>
      </c>
      <c r="B1360" s="7">
        <v>1204</v>
      </c>
      <c r="C1360" s="7" t="s">
        <v>575</v>
      </c>
      <c r="D1360" s="8"/>
      <c r="E1360" s="47">
        <f>E1361</f>
        <v>25017.4</v>
      </c>
    </row>
    <row r="1361" spans="1:9" ht="31.5" x14ac:dyDescent="0.2">
      <c r="A1361" s="1" t="s">
        <v>706</v>
      </c>
      <c r="B1361" s="9">
        <v>1204</v>
      </c>
      <c r="C1361" s="7" t="s">
        <v>575</v>
      </c>
      <c r="D1361" s="8">
        <v>240</v>
      </c>
      <c r="E1361" s="47">
        <v>25017.4</v>
      </c>
      <c r="F1361" s="56"/>
    </row>
    <row r="1362" spans="1:9" ht="30.75" customHeight="1" x14ac:dyDescent="0.2">
      <c r="A1362" s="2" t="s">
        <v>755</v>
      </c>
      <c r="B1362" s="9">
        <v>1204</v>
      </c>
      <c r="C1362" s="7" t="s">
        <v>753</v>
      </c>
      <c r="D1362" s="8"/>
      <c r="E1362" s="47">
        <f>E1363</f>
        <v>3004.6</v>
      </c>
    </row>
    <row r="1363" spans="1:9" ht="32.25" customHeight="1" x14ac:dyDescent="0.2">
      <c r="A1363" s="39" t="s">
        <v>307</v>
      </c>
      <c r="B1363" s="9">
        <v>1204</v>
      </c>
      <c r="C1363" s="7" t="s">
        <v>754</v>
      </c>
      <c r="D1363" s="8"/>
      <c r="E1363" s="47">
        <f>E1364</f>
        <v>3004.6</v>
      </c>
    </row>
    <row r="1364" spans="1:9" ht="35.25" customHeight="1" x14ac:dyDescent="0.2">
      <c r="A1364" s="1" t="s">
        <v>706</v>
      </c>
      <c r="B1364" s="9">
        <v>1204</v>
      </c>
      <c r="C1364" s="7" t="s">
        <v>754</v>
      </c>
      <c r="D1364" s="8">
        <v>240</v>
      </c>
      <c r="E1364" s="47">
        <f>2349.6+405.4+249.6</f>
        <v>3004.6</v>
      </c>
      <c r="F1364" s="132"/>
      <c r="G1364" s="226"/>
    </row>
    <row r="1365" spans="1:9" ht="31.5" x14ac:dyDescent="0.2">
      <c r="A1365" s="16" t="s">
        <v>98</v>
      </c>
      <c r="B1365" s="224" t="s">
        <v>99</v>
      </c>
      <c r="C1365" s="224" t="s">
        <v>0</v>
      </c>
      <c r="D1365" s="224" t="s">
        <v>0</v>
      </c>
      <c r="E1365" s="225">
        <f>E1366</f>
        <v>35000</v>
      </c>
    </row>
    <row r="1366" spans="1:9" ht="31.5" x14ac:dyDescent="0.2">
      <c r="A1366" s="17" t="s">
        <v>102</v>
      </c>
      <c r="B1366" s="18" t="s">
        <v>103</v>
      </c>
      <c r="C1366" s="15" t="s">
        <v>0</v>
      </c>
      <c r="D1366" s="18" t="s">
        <v>0</v>
      </c>
      <c r="E1366" s="182">
        <f>E1367</f>
        <v>35000</v>
      </c>
    </row>
    <row r="1367" spans="1:9" ht="47.25" x14ac:dyDescent="0.2">
      <c r="A1367" s="2" t="s">
        <v>905</v>
      </c>
      <c r="B1367" s="8" t="s">
        <v>103</v>
      </c>
      <c r="C1367" s="7" t="s">
        <v>688</v>
      </c>
      <c r="D1367" s="8" t="s">
        <v>0</v>
      </c>
      <c r="E1367" s="47">
        <f>E1368</f>
        <v>35000</v>
      </c>
    </row>
    <row r="1368" spans="1:9" x14ac:dyDescent="0.2">
      <c r="A1368" s="2" t="s">
        <v>255</v>
      </c>
      <c r="B1368" s="8" t="s">
        <v>103</v>
      </c>
      <c r="C1368" s="7" t="s">
        <v>689</v>
      </c>
      <c r="D1368" s="8" t="s">
        <v>0</v>
      </c>
      <c r="E1368" s="47">
        <f>SUM(E1369)</f>
        <v>35000</v>
      </c>
    </row>
    <row r="1369" spans="1:9" x14ac:dyDescent="0.2">
      <c r="A1369" s="2" t="s">
        <v>104</v>
      </c>
      <c r="B1369" s="8" t="s">
        <v>103</v>
      </c>
      <c r="C1369" s="7" t="s">
        <v>680</v>
      </c>
      <c r="D1369" s="8">
        <v>730</v>
      </c>
      <c r="E1369" s="47">
        <v>35000</v>
      </c>
      <c r="F1369" s="82"/>
    </row>
    <row r="1370" spans="1:9" x14ac:dyDescent="0.2">
      <c r="A1370" s="16" t="s">
        <v>105</v>
      </c>
      <c r="B1370" s="18"/>
      <c r="C1370" s="18"/>
      <c r="D1370" s="18"/>
      <c r="E1370" s="179">
        <f>E10+E203+E261+E485+E685+E698+E1012+E1081+E1284+E1347+E1365</f>
        <v>21214741.600000001</v>
      </c>
    </row>
    <row r="1371" spans="1:9" x14ac:dyDescent="0.2">
      <c r="C1371" s="14"/>
      <c r="E1371" s="187"/>
      <c r="H1371" s="223"/>
      <c r="I1371" s="223"/>
    </row>
  </sheetData>
  <customSheetViews>
    <customSheetView guid="{86B6327A-D95E-49B1-8495-020918419947}" showPageBreaks="1" printArea="1" showAutoFilter="1" view="pageBreakPreview" topLeftCell="A1353">
      <selection activeCell="E1375" sqref="E1375"/>
      <pageMargins left="0.70866141732283472" right="0.51181102362204722" top="0.55118110236220474" bottom="0.55118110236220474" header="0.31496062992125984" footer="0.31496062992125984"/>
      <pageSetup paperSize="9" scale="67" orientation="portrait" r:id="rId1"/>
      <headerFooter differentFirst="1">
        <oddHeader>&amp;C&amp;P</oddHeader>
      </headerFooter>
      <autoFilter ref="A9:O1361"/>
    </customSheetView>
    <customSheetView guid="{C09ED9C7-3F01-41B0-B9A2-04AF31DFAE98}" showPageBreaks="1" printArea="1" view="pageBreakPreview" topLeftCell="A261">
      <selection activeCell="G271" sqref="G271"/>
      <pageMargins left="0.70866141732283472" right="0.51181102362204722" top="0.55118110236220474" bottom="0.55118110236220474" header="0.31496062992125984" footer="0.31496062992125984"/>
      <pageSetup paperSize="9" scale="67" orientation="portrait" r:id="rId2"/>
      <headerFooter differentFirst="1">
        <oddHeader>&amp;C&amp;P</oddHeader>
      </headerFooter>
    </customSheetView>
    <customSheetView guid="{0777C1F0-68CA-406D-AEAD-8EB7655E0D6B}" showPageBreaks="1" printArea="1" showAutoFilter="1" view="pageBreakPreview" topLeftCell="A145">
      <selection activeCell="G159" sqref="G159"/>
      <pageMargins left="0.70866141732283472" right="0.51181102362204722" top="0.55118110236220474" bottom="0.55118110236220474" header="0.31496062992125984" footer="0.31496062992125984"/>
      <pageSetup paperSize="9" scale="67" orientation="portrait" r:id="rId3"/>
      <headerFooter differentFirst="1">
        <oddHeader>&amp;C&amp;P</oddHeader>
      </headerFooter>
      <autoFilter ref="A9:O1337"/>
    </customSheetView>
    <customSheetView guid="{FDAFDBFD-E670-471B-A06D-6250B9242800}" showPageBreaks="1" printArea="1" view="pageBreakPreview" topLeftCell="A202">
      <selection activeCell="F212" sqref="F212"/>
      <pageMargins left="0.70866141732283472" right="0.51181102362204722" top="0.55118110236220474" bottom="0.55118110236220474" header="0.31496062992125984" footer="0.31496062992125984"/>
      <pageSetup paperSize="9" scale="67" orientation="portrait" r:id="rId4"/>
      <headerFooter differentFirst="1">
        <oddHeader>&amp;C&amp;P</oddHeader>
      </headerFooter>
    </customSheetView>
    <customSheetView guid="{E344FFFC-2F72-4250-8418-4C2411576425}" showPageBreaks="1" printArea="1" showAutoFilter="1" view="pageBreakPreview" topLeftCell="A467">
      <selection activeCell="E499" sqref="E499"/>
      <pageMargins left="0.70866141732283472" right="0.51181102362204722" top="0.55118110236220474" bottom="0.55118110236220474" header="0.31496062992125984" footer="0.31496062992125984"/>
      <pageSetup paperSize="9" scale="67" orientation="portrait" r:id="rId5"/>
      <headerFooter differentFirst="1">
        <oddHeader>&amp;C&amp;P</oddHeader>
      </headerFooter>
      <autoFilter ref="A5:O1305"/>
    </customSheetView>
    <customSheetView guid="{28A1FD03-A5C7-4A3B-AC03-95109F344E22}" showPageBreaks="1" printArea="1" view="pageBreakPreview" topLeftCell="A1297">
      <selection activeCell="H1314" sqref="H1314"/>
      <pageMargins left="0.70866141732283472" right="0.51181102362204722" top="0.55118110236220474" bottom="0.55118110236220474" header="0.31496062992125984" footer="0.31496062992125984"/>
      <pageSetup paperSize="9" scale="67" orientation="portrait" r:id="rId6"/>
      <headerFooter differentFirst="1">
        <oddHeader>&amp;C&amp;P</oddHeader>
      </headerFooter>
    </customSheetView>
    <customSheetView guid="{E303D358-6406-440B-A615-9B73958D0CB0}" showPageBreaks="1" printArea="1" view="pageBreakPreview" topLeftCell="A893">
      <selection activeCell="E904" sqref="E904"/>
      <pageMargins left="0.70866141732283472" right="0.51181102362204722" top="0.55118110236220474" bottom="0.55118110236220474" header="0.31496062992125984" footer="0.31496062992125984"/>
      <pageSetup paperSize="9" scale="67" orientation="portrait" r:id="rId7"/>
      <headerFooter differentFirst="1">
        <oddHeader>&amp;C&amp;P</oddHeader>
      </headerFooter>
    </customSheetView>
    <customSheetView guid="{A8980C08-21F3-4918-87BB-9AA281AC46F8}" showPageBreaks="1" printArea="1" filter="1" showAutoFilter="1" view="pageBreakPreview" topLeftCell="A505">
      <selection activeCell="F1322" sqref="F1322"/>
      <pageMargins left="0.70866141732283472" right="0.51181102362204722" top="0.55118110236220474" bottom="0.55118110236220474" header="0.31496062992125984" footer="0.31496062992125984"/>
      <pageSetup paperSize="9" scale="67" orientation="portrait" r:id="rId8"/>
      <headerFooter differentFirst="1">
        <oddHeader>&amp;C&amp;P</oddHeader>
      </headerFooter>
      <autoFilter ref="A5:O1302">
        <filterColumn colId="1">
          <filters>
            <filter val="0501"/>
          </filters>
        </filterColumn>
        <filterColumn colId="3">
          <customFilters>
            <customFilter operator="notEqual" val=" "/>
          </customFilters>
        </filterColumn>
      </autoFilter>
    </customSheetView>
    <customSheetView guid="{376855A5-AFF6-481E-B156-9B19CA778CE6}" showPageBreaks="1" printArea="1" showAutoFilter="1" view="pageBreakPreview" topLeftCell="A1054">
      <selection activeCell="G1058" sqref="G1058"/>
      <pageMargins left="0.70866141732283472" right="0.51181102362204722" top="0.55118110236220474" bottom="0.55118110236220474" header="0.31496062992125984" footer="0.31496062992125984"/>
      <pageSetup paperSize="9" scale="67" orientation="portrait" r:id="rId9"/>
      <headerFooter differentFirst="1">
        <oddHeader>&amp;C&amp;P</oddHeader>
      </headerFooter>
      <autoFilter ref="A9:O1281"/>
    </customSheetView>
    <customSheetView guid="{A0858176-AE4A-4511-8CCA-CDAF5FF4EC9F}" showPageBreaks="1" printArea="1" showAutoFilter="1" view="pageBreakPreview">
      <selection activeCell="F15" sqref="F15"/>
      <pageMargins left="0.70866141732283472" right="0.51181102362204722" top="0.55118110236220474" bottom="0.55118110236220474" header="0.31496062992125984" footer="0.31496062992125984"/>
      <pageSetup paperSize="9" scale="67" orientation="portrait" r:id="rId10"/>
      <headerFooter differentFirst="1">
        <oddHeader>&amp;C&amp;P</oddHeader>
      </headerFooter>
      <autoFilter ref="A9:O1364"/>
    </customSheetView>
    <customSheetView guid="{394876B8-51E0-4735-B1F1-B81B4F39A604}" showPageBreaks="1" printArea="1" showAutoFilter="1" view="pageBreakPreview" topLeftCell="A526">
      <selection activeCell="A528" sqref="A528"/>
      <pageMargins left="0.70866141732283472" right="0.51181102362204722" top="0.55118110236220474" bottom="0.55118110236220474" header="0.31496062992125984" footer="0.31496062992125984"/>
      <pageSetup paperSize="9" scale="67" orientation="portrait" r:id="rId11"/>
      <headerFooter differentFirst="1">
        <oddHeader>&amp;C&amp;P</oddHeader>
      </headerFooter>
      <autoFilter ref="A9:O1369"/>
    </customSheetView>
    <customSheetView guid="{76DA0934-094B-4E57-AB12-DC56A1829BFE}" showPageBreaks="1" printArea="1" view="pageBreakPreview" topLeftCell="A518">
      <selection activeCell="E527" sqref="E527"/>
      <pageMargins left="0.70866141732283472" right="0.51181102362204722" top="0.55118110236220474" bottom="0.55118110236220474" header="0.31496062992125984" footer="0.31496062992125984"/>
      <pageSetup paperSize="9" scale="67" orientation="portrait" r:id="rId12"/>
      <headerFooter differentFirst="1">
        <oddHeader>&amp;C&amp;P</oddHeader>
      </headerFooter>
    </customSheetView>
    <customSheetView guid="{A37816EC-B19A-42AC-9856-7637F134F4B4}" showPageBreaks="1" printArea="1" filter="1" showAutoFilter="1" view="pageBreakPreview" topLeftCell="A652">
      <selection activeCell="F1377" sqref="F1377"/>
      <pageMargins left="0.70866141732283472" right="0.51181102362204722" top="0.55118110236220474" bottom="0.55118110236220474" header="0.31496062992125984" footer="0.31496062992125984"/>
      <pageSetup paperSize="9" scale="67" orientation="portrait" r:id="rId13"/>
      <headerFooter differentFirst="1">
        <oddHeader>&amp;C&amp;P</oddHeader>
      </headerFooter>
      <autoFilter ref="A9:O1368">
        <filterColumn colId="1">
          <filters>
            <filter val="0501"/>
            <filter val="0502"/>
            <filter val="0503"/>
            <filter val="0505"/>
          </filters>
        </filterColumn>
        <filterColumn colId="3">
          <customFilters>
            <customFilter operator="notEqual" val=" "/>
          </customFilters>
        </filterColumn>
      </autoFilter>
    </customSheetView>
    <customSheetView guid="{3AAAC2B4-14B8-4114-A767-33D481AE1E15}" showPageBreaks="1" printArea="1" view="pageBreakPreview" topLeftCell="A939">
      <selection activeCell="A947" sqref="A947"/>
      <pageMargins left="0.70866141732283472" right="0.51181102362204722" top="0.55118110236220474" bottom="0.55118110236220474" header="0.31496062992125984" footer="0.31496062992125984"/>
      <pageSetup paperSize="9" scale="67" orientation="portrait" r:id="rId14"/>
      <headerFooter differentFirst="1">
        <oddHeader>&amp;C&amp;P</oddHeader>
      </headerFooter>
    </customSheetView>
    <customSheetView guid="{CBDD0E3F-6FEE-4397-810C-A899A667AC6E}" showPageBreaks="1" printArea="1" showAutoFilter="1" view="pageBreakPreview">
      <selection activeCell="C4" sqref="C4:E4"/>
      <pageMargins left="0.70866141732283472" right="0.51181102362204722" top="0.55118110236220474" bottom="0.55118110236220474" header="0.31496062992125984" footer="0.31496062992125984"/>
      <pageSetup paperSize="9" scale="67" orientation="portrait" r:id="rId15"/>
      <headerFooter differentFirst="1">
        <oddHeader>&amp;C&amp;P</oddHeader>
      </headerFooter>
      <autoFilter ref="A9:O1368"/>
    </customSheetView>
  </customSheetViews>
  <mergeCells count="7">
    <mergeCell ref="A6:B6"/>
    <mergeCell ref="C6:E6"/>
    <mergeCell ref="A7:E7"/>
    <mergeCell ref="C2:E2"/>
    <mergeCell ref="C1:E1"/>
    <mergeCell ref="C3:E3"/>
    <mergeCell ref="C4:E4"/>
  </mergeCells>
  <pageMargins left="0.70866141732283472" right="0.51181102362204722" top="0.55118110236220474" bottom="0.55118110236220474" header="0.31496062992125984" footer="0.31496062992125984"/>
  <pageSetup paperSize="9" scale="67" orientation="portrait" r:id="rId16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внеочер. февраль</vt:lpstr>
      <vt:lpstr>' внеочер. февраль'!Заголовки_для_печати</vt:lpstr>
      <vt:lpstr>' внеочер. февраль'!Область_печати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Марина В. Цыбулина</cp:lastModifiedBy>
  <cp:lastPrinted>2018-02-06T01:09:03Z</cp:lastPrinted>
  <dcterms:created xsi:type="dcterms:W3CDTF">2006-09-16T00:00:00Z</dcterms:created>
  <dcterms:modified xsi:type="dcterms:W3CDTF">2018-02-06T23:58:29Z</dcterms:modified>
</cp:coreProperties>
</file>