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3" sheetId="1" r:id="rId1"/>
    <sheet name="3а" sheetId="2" r:id="rId2"/>
    <sheet name="4" sheetId="3" r:id="rId3"/>
    <sheet name="4а" sheetId="4" r:id="rId4"/>
    <sheet name="4б" sheetId="5" r:id="rId5"/>
    <sheet name="5" sheetId="6" r:id="rId6"/>
    <sheet name="5а" sheetId="7" r:id="rId7"/>
    <sheet name="6" sheetId="8" r:id="rId8"/>
    <sheet name="6а" sheetId="9" r:id="rId9"/>
    <sheet name="6б" sheetId="10" r:id="rId10"/>
    <sheet name="7" sheetId="11" r:id="rId11"/>
    <sheet name="7а" sheetId="12" r:id="rId12"/>
    <sheet name="8" sheetId="13" r:id="rId13"/>
    <sheet name="8б" sheetId="14" r:id="rId14"/>
    <sheet name="9" sheetId="15" r:id="rId15"/>
    <sheet name="9а" sheetId="16" r:id="rId16"/>
    <sheet name="11" sheetId="17" r:id="rId17"/>
    <sheet name="11а" sheetId="18" r:id="rId18"/>
  </sheets>
  <definedNames/>
  <calcPr fullCalcOnLoad="1"/>
</workbook>
</file>

<file path=xl/sharedStrings.xml><?xml version="1.0" encoding="utf-8"?>
<sst xmlns="http://schemas.openxmlformats.org/spreadsheetml/2006/main" count="1727" uniqueCount="175">
  <si>
    <t xml:space="preserve">                                      Отчет</t>
  </si>
  <si>
    <t xml:space="preserve">        о выполнении ООО "ЖКК"  договора управления</t>
  </si>
  <si>
    <t xml:space="preserve">              многоквартирным домом за 2017 год </t>
  </si>
  <si>
    <t>по адресу:   ул.Солнечного света, д. 9</t>
  </si>
  <si>
    <t xml:space="preserve">Общая площадь дома 643,60 м2 </t>
  </si>
  <si>
    <t>Наименование</t>
  </si>
  <si>
    <t>Содержание и техническое обслуживание, рублей</t>
  </si>
  <si>
    <t>Водоснабжение, водотведение, рублей</t>
  </si>
  <si>
    <t>Задолженность жителей на 01.01.2017 г.</t>
  </si>
  <si>
    <t>Накопительная на 31.12.2016 г.</t>
  </si>
  <si>
    <t>Начислено жителям дома за 2017 г.</t>
  </si>
  <si>
    <t>в т. числе:</t>
  </si>
  <si>
    <t>- за содержание дома</t>
  </si>
  <si>
    <t>-за текущий ремонт</t>
  </si>
  <si>
    <t>-за услуги управления</t>
  </si>
  <si>
    <t>-за услуги контролерской службы</t>
  </si>
  <si>
    <t>Оплачено жителями</t>
  </si>
  <si>
    <t>Сделано перерасчетов по дому</t>
  </si>
  <si>
    <t>Задолженность жителей</t>
  </si>
  <si>
    <t>Проведена работа по кап/ремонту. Нет</t>
  </si>
  <si>
    <t>Всего по дому накопительная по кап.ремонту</t>
  </si>
  <si>
    <t>Отклонение по выполненным работам по содержанию на 01.01.206 г.</t>
  </si>
  <si>
    <t>Отклонение по выполненным работам по содержанию на 01.01.2017 г.</t>
  </si>
  <si>
    <t xml:space="preserve">                Виды выполненных работ и услуг   </t>
  </si>
  <si>
    <t>по управлению и техническому обслуживанию общего имущества дома за 2017 год</t>
  </si>
  <si>
    <t xml:space="preserve">Наименование работ </t>
  </si>
  <si>
    <t>Выполнено</t>
  </si>
  <si>
    <t>Сумма, руб.</t>
  </si>
  <si>
    <t>Работы по содержанию дома</t>
  </si>
  <si>
    <t>Работа дворника по уборке территории</t>
  </si>
  <si>
    <t>Летняя и зимняя уборка земельного участка, уборка мусора с газонов</t>
  </si>
  <si>
    <t>6 раз в неделю</t>
  </si>
  <si>
    <t>Стрижка газонов (окос) по 2 раза в месяц</t>
  </si>
  <si>
    <t>май-сентябрь</t>
  </si>
  <si>
    <t xml:space="preserve">                                         1 раз в месяц</t>
  </si>
  <si>
    <t>октябрь</t>
  </si>
  <si>
    <t>Подрезка кустов, удаление травы</t>
  </si>
  <si>
    <t>май-ноябрь</t>
  </si>
  <si>
    <t>Полив газонов</t>
  </si>
  <si>
    <t>июль- август</t>
  </si>
  <si>
    <t>Озеленение территории</t>
  </si>
  <si>
    <t>май- октябрь</t>
  </si>
  <si>
    <t>Расчистка территории от снега с привлечением транспорта, вывоз снега</t>
  </si>
  <si>
    <t>в зимний период</t>
  </si>
  <si>
    <t>Сдвижка и подметание снега при отсутствии снегопада и в дни гололеда</t>
  </si>
  <si>
    <t>январь-апрель, ноябрь,декабрь</t>
  </si>
  <si>
    <t>Очистка территорий у крылец и пешеходных дорожек,крышек люков и пожарных гидрантов от наледи и льда</t>
  </si>
  <si>
    <t>Посыпка территории песком, смесью</t>
  </si>
  <si>
    <t>январь-март, ноябрь,декабрь</t>
  </si>
  <si>
    <t>Чистка козырьков подъездов от снега и сбивание сосулек, очистка козырьков и входов в тех.помещение</t>
  </si>
  <si>
    <t>4 раза</t>
  </si>
  <si>
    <t>Уборка мусора на контейнерных площадках, площадок для мусора</t>
  </si>
  <si>
    <t>Ремонт,покраска оборудования контейнерных площадок и контейнеров</t>
  </si>
  <si>
    <t>май-июль</t>
  </si>
  <si>
    <t>Вывоз мусора</t>
  </si>
  <si>
    <t>Содержание и текущий ремонт</t>
  </si>
  <si>
    <t xml:space="preserve">Подготовка общего имущества дома конструтивных элементов к сезонной эксплуатации </t>
  </si>
  <si>
    <t>Подготовка общего имущества дома к сезонной эксплуатации инженерных коммуникаций</t>
  </si>
  <si>
    <t>июнь-сентябрь</t>
  </si>
  <si>
    <t>Устранение неисправностей аварийного характера на сетях отопления, ГВС, ХВС</t>
  </si>
  <si>
    <t>не более 8 часов</t>
  </si>
  <si>
    <t>Проведение технических осмотров с составлением актов для проведения необходимых работ</t>
  </si>
  <si>
    <t>весной при подготовке к зиме</t>
  </si>
  <si>
    <t>Электромонтажные работы.Ревизия ВРУ, ревизия этажных щитков (с составлением актов проведенных работ)</t>
  </si>
  <si>
    <t>Замена элементов питания (батареек) в автономных датчиках противопожарной системы</t>
  </si>
  <si>
    <t>по графику</t>
  </si>
  <si>
    <t>Услуги контролерской службы по обеспечению охранно-пожарных мероприятий на территории общего периметра застройки Земляничные холмы</t>
  </si>
  <si>
    <t>круглосуточно</t>
  </si>
  <si>
    <t>Расходы по управлению многоквартирным домом  в т.ч.</t>
  </si>
  <si>
    <t>в течение года</t>
  </si>
  <si>
    <t>оказание услуг паспортного стола</t>
  </si>
  <si>
    <t>оказание услуг по начислению и сбору платежей</t>
  </si>
  <si>
    <t>выполнение заявок населения, поступивших лично или по телефону</t>
  </si>
  <si>
    <t>ежедневно</t>
  </si>
  <si>
    <t>ВСЕГО РАСХОДОВ</t>
  </si>
  <si>
    <t>Замена общедомового прибора учета холодного водоснабжения</t>
  </si>
  <si>
    <t>В случае возникновения вопросов, Вы можете обратиться в рабочие часы</t>
  </si>
  <si>
    <t>(понедельник- пятница с 9-00 до 18-00 ч., обеденный перерыв с 13-00 до 14-00 ч.)</t>
  </si>
  <si>
    <t>в бухгалтерию ООО" ЖКК" (г. Южно-Сахалинск, ул. Лунного света,25)</t>
  </si>
  <si>
    <t>или по тел. 45-00-32</t>
  </si>
  <si>
    <t>Генеральный директор                                              Е.Г. Алмаева</t>
  </si>
  <si>
    <t>по адресу:   ул.Солнечного света, д. 3</t>
  </si>
  <si>
    <t xml:space="preserve">Общая площадь дома 640,50 м2 </t>
  </si>
  <si>
    <t>Фактические расходы ООО "ЖКК"</t>
  </si>
  <si>
    <t>Информация размещена на сайте администрации г.Южно-Сахалинск</t>
  </si>
  <si>
    <t>Городское хозяйство-управляющие организации-</t>
  </si>
  <si>
    <t>yuzhno-sakh.ru/dirs/1082/orgs/142</t>
  </si>
  <si>
    <t>по адресу:   ул.Солнечного света, д. 3а</t>
  </si>
  <si>
    <t xml:space="preserve">Общая площадь дома 556,40 м2 </t>
  </si>
  <si>
    <t>Взнос на капитальный ремонт, рублей</t>
  </si>
  <si>
    <t>по адресу:   ул.Солнечного света, д. 5</t>
  </si>
  <si>
    <t xml:space="preserve">Общая площадь дома 565,80 м2 </t>
  </si>
  <si>
    <t>по адресу:   ул.Солнечного света, д. 5а</t>
  </si>
  <si>
    <t xml:space="preserve">Общая площадь дома 630,90 м2 </t>
  </si>
  <si>
    <t>по адресу:   ул.Солнечного света, д. 7</t>
  </si>
  <si>
    <t xml:space="preserve">Общая площадь дома 568,80 м2 </t>
  </si>
  <si>
    <t>по адресу:   ул.Солнечного света, д. 7а</t>
  </si>
  <si>
    <t xml:space="preserve">Общая площадь дома 631,80 м2 </t>
  </si>
  <si>
    <t>Фактические расходы ООО"ЖКК"</t>
  </si>
  <si>
    <t>Отклонение по выполненным работам по содержанию на 01.01.2016 г.</t>
  </si>
  <si>
    <t>по адресу:   ул.Солнечного света, д. 9а</t>
  </si>
  <si>
    <t xml:space="preserve">Общая площадь дома 638,0 м2 </t>
  </si>
  <si>
    <t>по адресу:   ул.Солнечного света, д. 11</t>
  </si>
  <si>
    <t xml:space="preserve">Общая площадь дома 612,9 м2 </t>
  </si>
  <si>
    <t>по адресу:   ул.Солнечного света, д. 11а</t>
  </si>
  <si>
    <t xml:space="preserve">Общая площадь дома 616,7 м2 </t>
  </si>
  <si>
    <t xml:space="preserve">        о выполнении ООО "ЖКК" договора управления</t>
  </si>
  <si>
    <t>Содержание и тех.обслуживание, рублей</t>
  </si>
  <si>
    <t>Работа уборщиц: уборка,мытье лестничных площадок и маршей всех этажей</t>
  </si>
  <si>
    <t>5 раз в неделю</t>
  </si>
  <si>
    <t>Протирка пыли с колпаков светильников, подоконников,мытье окон,дверей,влажная протирка стен в помещениях общего пользования</t>
  </si>
  <si>
    <t>по мере необходимости</t>
  </si>
  <si>
    <t>не более 8 час</t>
  </si>
  <si>
    <t>Замена электроламп в местах общего пользования</t>
  </si>
  <si>
    <t>январь,сентябрь</t>
  </si>
  <si>
    <t>Услуги контролерской службы по обеспечению охранно-пожарных мероприятий на территории общего периметра застройки Грушевый сад</t>
  </si>
  <si>
    <t>Генеральный директор                                                    Е.Г.Алмаева</t>
  </si>
  <si>
    <t>Взнос на капитальный ремонт</t>
  </si>
  <si>
    <t>май, октябрьи по мере необходимости</t>
  </si>
  <si>
    <t>Содержание общего имущества конструктивных элементов здания к сезонной эксплуатациии</t>
  </si>
  <si>
    <t>Содержание и обслуживание внутридомового инженерного оборудования из них:</t>
  </si>
  <si>
    <t>Систем теплоснабжения</t>
  </si>
  <si>
    <t>Систем горячего водоснабжения</t>
  </si>
  <si>
    <t>Систем холодного водоснабжения и водоотведения</t>
  </si>
  <si>
    <t xml:space="preserve">              многоквартирным домом за 2017 год</t>
  </si>
  <si>
    <t>Начислено жителям дома за 2017г.</t>
  </si>
  <si>
    <t>или по тел.45-00-32</t>
  </si>
  <si>
    <t>по адресу:   ул.Солнечного света, д 4</t>
  </si>
  <si>
    <t xml:space="preserve">Общая площадь дома 798,3 м2 </t>
  </si>
  <si>
    <t>в бухгалтерию ООО "ЖКК" (г. Южно-Сахалинск, ул. Лунного света,25)</t>
  </si>
  <si>
    <t>по адресу:   ул.Солнечного света, д 4б</t>
  </si>
  <si>
    <t xml:space="preserve">Общая площадь дома 780,7 м2 </t>
  </si>
  <si>
    <t>по адресу:   ул.Солнечного света, д. 8</t>
  </si>
  <si>
    <t xml:space="preserve">Общая площадь дома 798,9 м2 </t>
  </si>
  <si>
    <t>по адресу:   ул.Солнечного света, д 6</t>
  </si>
  <si>
    <t xml:space="preserve">Общая площадь дома 799,7 м2 </t>
  </si>
  <si>
    <t>по адресу:   ул.Солнечного света, д 6А</t>
  </si>
  <si>
    <t xml:space="preserve">Общая площадь дома 783,9 м2 </t>
  </si>
  <si>
    <t>Выполнение работ</t>
  </si>
  <si>
    <t>Работа дворника по уборке территории двора</t>
  </si>
  <si>
    <t xml:space="preserve"> 1 раз в месяц</t>
  </si>
  <si>
    <t>в зимний  период</t>
  </si>
  <si>
    <t>8 раза</t>
  </si>
  <si>
    <t>июнь</t>
  </si>
  <si>
    <t>май,октябрь и по мере необходимости</t>
  </si>
  <si>
    <t>Содержание общего имущества дома конструктивных элементов здания к сезонной эксплуатации</t>
  </si>
  <si>
    <t>Устранение неисправностей аварийного характера на сетях отопления, ГВС, ХВС, канализации</t>
  </si>
  <si>
    <t>Накопительная на 31.12.2017 г.</t>
  </si>
  <si>
    <t xml:space="preserve">Содержание общего имущества </t>
  </si>
  <si>
    <t>по адресу:   ул. Солнечного света, д 4А</t>
  </si>
  <si>
    <t xml:space="preserve">Общая площадь дома 779,1 м2 </t>
  </si>
  <si>
    <t>по адресу:   ул. Солнечного света, д 6Б</t>
  </si>
  <si>
    <t xml:space="preserve">Общая площадь дома 781,1 м2 </t>
  </si>
  <si>
    <t>по адресу:   ул. Солнечного света, д 8Б</t>
  </si>
  <si>
    <t xml:space="preserve">Общая площадь дома 784,3 м2 </t>
  </si>
  <si>
    <t>Замена эл.ламп в подъезде</t>
  </si>
  <si>
    <t>апрель</t>
  </si>
  <si>
    <t>Замена прибора учета ХВС</t>
  </si>
  <si>
    <t>Установка светильника на крыльце</t>
  </si>
  <si>
    <t>Установка датчика движения</t>
  </si>
  <si>
    <t>декабрь</t>
  </si>
  <si>
    <t>Ремонт системы отопления</t>
  </si>
  <si>
    <t>август</t>
  </si>
  <si>
    <t>Замена насоса для отопления</t>
  </si>
  <si>
    <t>Устройство освещения крыльца</t>
  </si>
  <si>
    <t>Замена труб  для отопления в подвале</t>
  </si>
  <si>
    <t>Устройство для освещения крыльца</t>
  </si>
  <si>
    <t>Замена эл.ламп , фотореле в подъезде</t>
  </si>
  <si>
    <t>апрель,декабрь</t>
  </si>
  <si>
    <t>Замена труб в подвале</t>
  </si>
  <si>
    <t>май</t>
  </si>
  <si>
    <t>Устройство светильника на крыльце</t>
  </si>
  <si>
    <t>Замена фотореле</t>
  </si>
  <si>
    <t>Замена общедомового прибора учета холодного водоснабжения, отопления</t>
  </si>
  <si>
    <t>8 раз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</si>
</sst>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horizontal="center" wrapText="1"/>
    </xf>
    <xf numFmtId="0" fontId="1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/>
    </xf>
    <xf numFmtId="2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wrapText="1"/>
    </xf>
    <xf numFmtId="2" fontId="0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2" fontId="1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1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" xfId="0" applyBorder="1" applyAlignment="1">
      <alignment horizontal="left" wrapText="1"/>
    </xf>
    <xf numFmtId="2" fontId="0" fillId="0" borderId="9" xfId="0" applyNumberFormat="1" applyBorder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2" fontId="0" fillId="0" borderId="0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49" fontId="0" fillId="0" borderId="2" xfId="0" applyNumberFormat="1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2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 vertical="center" wrapText="1"/>
    </xf>
    <xf numFmtId="2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2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2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vertical="center" wrapText="1"/>
    </xf>
    <xf numFmtId="2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76"/>
  <sheetViews>
    <sheetView workbookViewId="0" topLeftCell="A52">
      <selection activeCell="G62" sqref="G62"/>
    </sheetView>
  </sheetViews>
  <sheetFormatPr defaultColWidth="9.140625" defaultRowHeight="12.75"/>
  <cols>
    <col min="1" max="1" width="50.140625" style="0" customWidth="1"/>
    <col min="2" max="2" width="1.28515625" style="0" customWidth="1"/>
    <col min="3" max="3" width="16.28125" style="0" customWidth="1"/>
    <col min="4" max="4" width="15.421875" style="0" customWidth="1"/>
    <col min="5" max="5" width="9.8515625" style="0" customWidth="1"/>
    <col min="6" max="6" width="14.28125" style="0" customWidth="1"/>
    <col min="7" max="7" width="15.00390625" style="0" customWidth="1"/>
    <col min="8" max="8" width="9.421875" style="0" customWidth="1"/>
  </cols>
  <sheetData>
    <row r="3" spans="1:9" ht="12.75">
      <c r="A3" s="1"/>
      <c r="B3" s="1"/>
      <c r="C3" s="1"/>
      <c r="D3" s="1"/>
      <c r="E3" s="1"/>
      <c r="F3" s="2"/>
      <c r="G3" s="2"/>
      <c r="H3" s="2"/>
      <c r="I3" s="2"/>
    </row>
    <row r="5" spans="1:4" ht="12.75">
      <c r="A5" s="44" t="s">
        <v>0</v>
      </c>
      <c r="B5" s="44"/>
      <c r="C5" s="44"/>
      <c r="D5" s="1"/>
    </row>
    <row r="6" spans="1:4" ht="12.75">
      <c r="A6" s="44" t="s">
        <v>1</v>
      </c>
      <c r="B6" s="44"/>
      <c r="C6" s="44"/>
      <c r="D6" s="1"/>
    </row>
    <row r="7" spans="1:4" ht="12.75">
      <c r="A7" s="44" t="s">
        <v>2</v>
      </c>
      <c r="B7" s="44"/>
      <c r="C7" s="44"/>
      <c r="D7" s="2"/>
    </row>
    <row r="8" spans="1:4" ht="12.75">
      <c r="A8" s="3"/>
      <c r="B8" s="4"/>
      <c r="C8" s="4"/>
      <c r="D8" s="2"/>
    </row>
    <row r="9" ht="12.75">
      <c r="D9" s="2"/>
    </row>
    <row r="10" spans="1:4" ht="12.75">
      <c r="A10" s="5" t="s">
        <v>81</v>
      </c>
      <c r="D10" s="2"/>
    </row>
    <row r="11" ht="12.75">
      <c r="D11" s="2"/>
    </row>
    <row r="12" spans="1:4" ht="12.75">
      <c r="A12" t="s">
        <v>82</v>
      </c>
      <c r="D12" s="2"/>
    </row>
    <row r="13" spans="1:4" ht="51">
      <c r="A13" s="45" t="s">
        <v>5</v>
      </c>
      <c r="B13" s="46"/>
      <c r="C13" s="6" t="s">
        <v>6</v>
      </c>
      <c r="D13" s="6" t="s">
        <v>7</v>
      </c>
    </row>
    <row r="14" spans="1:4" ht="12.75">
      <c r="A14" s="47" t="s">
        <v>8</v>
      </c>
      <c r="B14" s="48"/>
      <c r="C14" s="7">
        <v>0</v>
      </c>
      <c r="D14" s="8">
        <v>0</v>
      </c>
    </row>
    <row r="15" spans="1:4" ht="12.75">
      <c r="A15" s="47" t="s">
        <v>9</v>
      </c>
      <c r="B15" s="48"/>
      <c r="C15" s="8"/>
      <c r="D15" s="6"/>
    </row>
    <row r="16" spans="1:4" ht="12.75">
      <c r="A16" s="49" t="s">
        <v>10</v>
      </c>
      <c r="B16" s="50"/>
      <c r="C16" s="9">
        <f>C18+C19+C20+C21</f>
        <v>432415.72</v>
      </c>
      <c r="D16" s="10">
        <f>13689.62+9329.95</f>
        <v>23019.57</v>
      </c>
    </row>
    <row r="17" spans="1:4" ht="12.75">
      <c r="A17" s="49" t="s">
        <v>11</v>
      </c>
      <c r="B17" s="50"/>
      <c r="C17" s="9"/>
      <c r="D17" s="10"/>
    </row>
    <row r="18" spans="1:4" ht="12.75">
      <c r="A18" s="51" t="s">
        <v>12</v>
      </c>
      <c r="B18" s="52"/>
      <c r="C18" s="9">
        <f>D36+D43+D49+D50</f>
        <v>131201.41999999998</v>
      </c>
      <c r="D18" s="10"/>
    </row>
    <row r="19" spans="1:4" ht="12.75">
      <c r="A19" s="51" t="s">
        <v>13</v>
      </c>
      <c r="B19" s="52"/>
      <c r="C19" s="9">
        <f>D52+D54</f>
        <v>33818.4</v>
      </c>
      <c r="D19" s="10"/>
    </row>
    <row r="20" spans="1:4" ht="12.75">
      <c r="A20" s="51" t="s">
        <v>14</v>
      </c>
      <c r="B20" s="52"/>
      <c r="C20" s="9">
        <f>D58</f>
        <v>124128.9</v>
      </c>
      <c r="D20" s="10"/>
    </row>
    <row r="21" spans="1:4" ht="12.75">
      <c r="A21" s="51" t="s">
        <v>15</v>
      </c>
      <c r="B21" s="52"/>
      <c r="C21" s="9">
        <f>D62</f>
        <v>143267</v>
      </c>
      <c r="D21" s="10"/>
    </row>
    <row r="22" spans="1:4" ht="12.75">
      <c r="A22" s="49" t="s">
        <v>16</v>
      </c>
      <c r="B22" s="50"/>
      <c r="C22" s="9">
        <f>C14+C16-C24</f>
        <v>397675</v>
      </c>
      <c r="D22" s="10">
        <f>D14+D16-D24</f>
        <v>21941.37</v>
      </c>
    </row>
    <row r="23" spans="1:4" ht="12.75">
      <c r="A23" s="49" t="s">
        <v>17</v>
      </c>
      <c r="B23" s="50"/>
      <c r="C23" s="10">
        <v>0</v>
      </c>
      <c r="D23" s="10"/>
    </row>
    <row r="24" spans="1:4" ht="12.75">
      <c r="A24" s="49" t="s">
        <v>18</v>
      </c>
      <c r="B24" s="50"/>
      <c r="C24" s="10">
        <v>34740.72</v>
      </c>
      <c r="D24" s="10">
        <f>641.2+437</f>
        <v>1078.2</v>
      </c>
    </row>
    <row r="25" spans="1:4" ht="12.75">
      <c r="A25" s="49" t="s">
        <v>83</v>
      </c>
      <c r="B25" s="50"/>
      <c r="C25" s="9">
        <f>D63</f>
        <v>432415.72000000003</v>
      </c>
      <c r="D25" s="10">
        <v>0</v>
      </c>
    </row>
    <row r="26" spans="1:4" ht="12.75">
      <c r="A26" s="49" t="s">
        <v>19</v>
      </c>
      <c r="B26" s="50"/>
      <c r="C26" s="9">
        <v>0</v>
      </c>
      <c r="D26" s="10">
        <v>0</v>
      </c>
    </row>
    <row r="27" spans="1:4" ht="12.75">
      <c r="A27" s="49" t="s">
        <v>20</v>
      </c>
      <c r="B27" s="50"/>
      <c r="C27" s="9">
        <v>0</v>
      </c>
      <c r="D27" s="10">
        <v>0</v>
      </c>
    </row>
    <row r="28" spans="1:4" ht="25.5" customHeight="1">
      <c r="A28" s="49" t="s">
        <v>21</v>
      </c>
      <c r="B28" s="50"/>
      <c r="C28" s="9">
        <v>0</v>
      </c>
      <c r="D28" s="10">
        <v>0</v>
      </c>
    </row>
    <row r="29" spans="1:4" ht="28.5" customHeight="1">
      <c r="A29" s="49" t="s">
        <v>22</v>
      </c>
      <c r="B29" s="50"/>
      <c r="C29" s="9">
        <v>0</v>
      </c>
      <c r="D29" s="10">
        <v>0</v>
      </c>
    </row>
    <row r="30" spans="1:4" ht="12.75">
      <c r="A30" s="2"/>
      <c r="B30" s="2"/>
      <c r="C30" s="2"/>
      <c r="D30" s="2"/>
    </row>
    <row r="31" spans="1:4" ht="12.75">
      <c r="A31" s="53" t="s">
        <v>23</v>
      </c>
      <c r="B31" s="53"/>
      <c r="C31" s="53"/>
      <c r="D31" s="2"/>
    </row>
    <row r="32" spans="1:4" ht="12.75" customHeight="1">
      <c r="A32" s="53" t="s">
        <v>24</v>
      </c>
      <c r="B32" s="53"/>
      <c r="C32" s="53"/>
      <c r="D32" s="53"/>
    </row>
    <row r="33" spans="1:4" ht="12.75">
      <c r="A33" s="11"/>
      <c r="B33" s="11"/>
      <c r="C33" s="11"/>
      <c r="D33" s="2"/>
    </row>
    <row r="34" spans="1:4" ht="25.5" customHeight="1">
      <c r="A34" s="12" t="s">
        <v>25</v>
      </c>
      <c r="B34" s="54" t="s">
        <v>26</v>
      </c>
      <c r="C34" s="55"/>
      <c r="D34" s="12" t="s">
        <v>27</v>
      </c>
    </row>
    <row r="35" spans="1:4" ht="12.75">
      <c r="A35" s="13" t="s">
        <v>28</v>
      </c>
      <c r="B35" s="56"/>
      <c r="C35" s="57"/>
      <c r="D35" s="14"/>
    </row>
    <row r="36" spans="1:17" ht="12.75">
      <c r="A36" s="15" t="s">
        <v>29</v>
      </c>
      <c r="B36" s="58"/>
      <c r="C36" s="57"/>
      <c r="D36" s="16">
        <v>59950.8</v>
      </c>
      <c r="K36" s="2"/>
      <c r="L36" s="87"/>
      <c r="M36" s="87"/>
      <c r="N36" s="87"/>
      <c r="O36" s="87"/>
      <c r="P36" s="87"/>
      <c r="Q36" s="87"/>
    </row>
    <row r="37" spans="1:17" ht="25.5" customHeight="1">
      <c r="A37" s="17" t="s">
        <v>30</v>
      </c>
      <c r="B37" s="59" t="s">
        <v>31</v>
      </c>
      <c r="C37" s="60"/>
      <c r="D37" s="18"/>
      <c r="K37" s="2"/>
      <c r="L37" s="87"/>
      <c r="M37" s="87"/>
      <c r="N37" s="87"/>
      <c r="O37" s="87"/>
      <c r="P37" s="87"/>
      <c r="Q37" s="87"/>
    </row>
    <row r="38" spans="1:17" ht="18" customHeight="1">
      <c r="A38" s="17" t="s">
        <v>32</v>
      </c>
      <c r="B38" s="59" t="s">
        <v>33</v>
      </c>
      <c r="C38" s="60"/>
      <c r="D38" s="18"/>
      <c r="L38" s="87"/>
      <c r="M38" s="87"/>
      <c r="N38" s="87"/>
      <c r="O38" s="87"/>
      <c r="P38" s="87"/>
      <c r="Q38" s="87"/>
    </row>
    <row r="39" spans="1:17" ht="13.5" customHeight="1">
      <c r="A39" s="17" t="s">
        <v>34</v>
      </c>
      <c r="B39" s="59" t="s">
        <v>35</v>
      </c>
      <c r="C39" s="60"/>
      <c r="D39" s="18"/>
      <c r="L39" s="87"/>
      <c r="M39" s="87"/>
      <c r="N39" s="87"/>
      <c r="O39" s="87"/>
      <c r="P39" s="87"/>
      <c r="Q39" s="87"/>
    </row>
    <row r="40" spans="1:17" ht="22.5" customHeight="1">
      <c r="A40" s="17" t="s">
        <v>36</v>
      </c>
      <c r="B40" s="59" t="s">
        <v>37</v>
      </c>
      <c r="C40" s="60"/>
      <c r="D40" s="18"/>
      <c r="K40" s="23"/>
      <c r="L40" s="87"/>
      <c r="M40" s="87"/>
      <c r="N40" s="89"/>
      <c r="O40" s="87"/>
      <c r="P40" s="90"/>
      <c r="Q40" s="87"/>
    </row>
    <row r="41" spans="1:17" ht="23.25" customHeight="1">
      <c r="A41" s="17" t="s">
        <v>38</v>
      </c>
      <c r="B41" s="59" t="s">
        <v>39</v>
      </c>
      <c r="C41" s="60"/>
      <c r="D41" s="18"/>
      <c r="K41" s="23"/>
      <c r="L41" s="87"/>
      <c r="M41" s="87"/>
      <c r="N41" s="89"/>
      <c r="O41" s="87"/>
      <c r="P41" s="90"/>
      <c r="Q41" s="87"/>
    </row>
    <row r="42" spans="1:17" ht="24" customHeight="1">
      <c r="A42" s="17" t="s">
        <v>40</v>
      </c>
      <c r="B42" s="59" t="s">
        <v>41</v>
      </c>
      <c r="C42" s="60"/>
      <c r="D42" s="18"/>
      <c r="K42" s="23"/>
      <c r="L42" s="87"/>
      <c r="M42" s="87"/>
      <c r="N42" s="89"/>
      <c r="O42" s="87"/>
      <c r="P42" s="90"/>
      <c r="Q42" s="87"/>
    </row>
    <row r="43" spans="1:17" ht="33" customHeight="1">
      <c r="A43" s="17" t="s">
        <v>42</v>
      </c>
      <c r="B43" s="59" t="s">
        <v>43</v>
      </c>
      <c r="C43" s="60"/>
      <c r="D43" s="18">
        <f>16909.2+15527.12</f>
        <v>32436.32</v>
      </c>
      <c r="K43" s="23"/>
      <c r="L43" s="87"/>
      <c r="M43" s="87"/>
      <c r="N43" s="89"/>
      <c r="O43" s="87"/>
      <c r="P43" s="90"/>
      <c r="Q43" s="87"/>
    </row>
    <row r="44" spans="1:17" ht="33" customHeight="1">
      <c r="A44" s="17" t="s">
        <v>44</v>
      </c>
      <c r="B44" s="59" t="s">
        <v>45</v>
      </c>
      <c r="C44" s="60"/>
      <c r="D44" s="18"/>
      <c r="K44" s="23"/>
      <c r="L44" s="87"/>
      <c r="M44" s="87"/>
      <c r="N44" s="89"/>
      <c r="O44" s="87"/>
      <c r="P44" s="90"/>
      <c r="Q44" s="87"/>
    </row>
    <row r="45" spans="1:17" ht="40.5" customHeight="1">
      <c r="A45" s="17" t="s">
        <v>46</v>
      </c>
      <c r="B45" s="59" t="s">
        <v>45</v>
      </c>
      <c r="C45" s="60"/>
      <c r="D45" s="18"/>
      <c r="K45" s="23"/>
      <c r="L45" s="87"/>
      <c r="M45" s="87"/>
      <c r="N45" s="89"/>
      <c r="O45" s="87"/>
      <c r="P45" s="90"/>
      <c r="Q45" s="87"/>
    </row>
    <row r="46" spans="1:17" ht="25.5" customHeight="1">
      <c r="A46" s="17" t="s">
        <v>47</v>
      </c>
      <c r="B46" s="59" t="s">
        <v>48</v>
      </c>
      <c r="C46" s="60"/>
      <c r="D46" s="18"/>
      <c r="K46" s="23"/>
      <c r="L46" s="87"/>
      <c r="M46" s="87"/>
      <c r="N46" s="89"/>
      <c r="O46" s="87"/>
      <c r="P46" s="90"/>
      <c r="Q46" s="87"/>
    </row>
    <row r="47" spans="1:17" ht="25.5">
      <c r="A47" s="17" t="s">
        <v>49</v>
      </c>
      <c r="B47" s="59" t="s">
        <v>50</v>
      </c>
      <c r="C47" s="60"/>
      <c r="D47" s="18"/>
      <c r="K47" s="23"/>
      <c r="L47" s="87"/>
      <c r="M47" s="87"/>
      <c r="N47" s="89"/>
      <c r="O47" s="87"/>
      <c r="P47" s="90"/>
      <c r="Q47" s="87"/>
    </row>
    <row r="48" spans="1:17" ht="25.5" customHeight="1">
      <c r="A48" s="17" t="s">
        <v>51</v>
      </c>
      <c r="B48" s="59" t="s">
        <v>31</v>
      </c>
      <c r="C48" s="60"/>
      <c r="D48" s="18"/>
      <c r="K48" s="23"/>
      <c r="L48" s="87"/>
      <c r="M48" s="87"/>
      <c r="N48" s="89"/>
      <c r="O48" s="87"/>
      <c r="P48" s="90"/>
      <c r="Q48" s="87"/>
    </row>
    <row r="49" spans="1:17" ht="25.5">
      <c r="A49" s="17" t="s">
        <v>52</v>
      </c>
      <c r="B49" s="59" t="s">
        <v>53</v>
      </c>
      <c r="C49" s="60"/>
      <c r="D49" s="18">
        <v>461.16</v>
      </c>
      <c r="L49" s="87"/>
      <c r="M49" s="87"/>
      <c r="N49" s="90"/>
      <c r="O49" s="87"/>
      <c r="P49" s="90"/>
      <c r="Q49" s="87"/>
    </row>
    <row r="50" spans="1:17" ht="24.75" customHeight="1">
      <c r="A50" s="17" t="s">
        <v>54</v>
      </c>
      <c r="B50" s="59" t="s">
        <v>31</v>
      </c>
      <c r="C50" s="60"/>
      <c r="D50" s="18">
        <v>38353.14</v>
      </c>
      <c r="K50" s="23"/>
      <c r="L50" s="87"/>
      <c r="M50" s="91"/>
      <c r="N50" s="92"/>
      <c r="O50" s="91"/>
      <c r="P50" s="92"/>
      <c r="Q50" s="87"/>
    </row>
    <row r="51" spans="1:17" ht="12.75">
      <c r="A51" s="19" t="s">
        <v>55</v>
      </c>
      <c r="B51" s="59"/>
      <c r="C51" s="60"/>
      <c r="D51" s="18"/>
      <c r="L51" s="87"/>
      <c r="M51" s="87"/>
      <c r="N51" s="87"/>
      <c r="O51" s="87"/>
      <c r="P51" s="90"/>
      <c r="Q51" s="87"/>
    </row>
    <row r="52" spans="1:17" ht="24.75" customHeight="1">
      <c r="A52" s="17" t="s">
        <v>56</v>
      </c>
      <c r="B52" s="59" t="s">
        <v>41</v>
      </c>
      <c r="C52" s="60"/>
      <c r="D52" s="18">
        <v>5303.34</v>
      </c>
      <c r="L52" s="87"/>
      <c r="M52" s="87"/>
      <c r="N52" s="87"/>
      <c r="O52" s="87"/>
      <c r="P52" s="90"/>
      <c r="Q52" s="87"/>
    </row>
    <row r="53" spans="1:17" ht="38.25" customHeight="1">
      <c r="A53" s="17" t="s">
        <v>57</v>
      </c>
      <c r="B53" s="59" t="s">
        <v>58</v>
      </c>
      <c r="C53" s="60"/>
      <c r="D53" s="18"/>
      <c r="L53" s="87"/>
      <c r="M53" s="87"/>
      <c r="N53" s="87"/>
      <c r="O53" s="87"/>
      <c r="P53" s="90"/>
      <c r="Q53" s="87"/>
    </row>
    <row r="54" spans="1:17" ht="28.5" customHeight="1">
      <c r="A54" s="17" t="s">
        <v>59</v>
      </c>
      <c r="B54" s="59" t="s">
        <v>60</v>
      </c>
      <c r="C54" s="60"/>
      <c r="D54" s="18">
        <v>28515.06</v>
      </c>
      <c r="L54" s="87"/>
      <c r="M54" s="87"/>
      <c r="N54" s="87"/>
      <c r="O54" s="91"/>
      <c r="P54" s="92"/>
      <c r="Q54" s="87"/>
    </row>
    <row r="55" spans="1:17" ht="40.5" customHeight="1">
      <c r="A55" s="17" t="s">
        <v>61</v>
      </c>
      <c r="B55" s="59" t="s">
        <v>62</v>
      </c>
      <c r="C55" s="60"/>
      <c r="D55" s="18"/>
      <c r="K55" s="23"/>
      <c r="L55" s="87"/>
      <c r="M55" s="87"/>
      <c r="N55" s="87"/>
      <c r="O55" s="87"/>
      <c r="P55" s="87"/>
      <c r="Q55" s="87"/>
    </row>
    <row r="56" spans="1:17" ht="38.25">
      <c r="A56" s="17" t="s">
        <v>63</v>
      </c>
      <c r="B56" s="59" t="s">
        <v>35</v>
      </c>
      <c r="C56" s="60"/>
      <c r="D56" s="18"/>
      <c r="L56" s="87"/>
      <c r="M56" s="87"/>
      <c r="N56" s="87"/>
      <c r="O56" s="87"/>
      <c r="P56" s="87"/>
      <c r="Q56" s="87"/>
    </row>
    <row r="57" spans="1:17" ht="38.25" customHeight="1">
      <c r="A57" s="17" t="s">
        <v>64</v>
      </c>
      <c r="B57" s="59" t="s">
        <v>65</v>
      </c>
      <c r="C57" s="60"/>
      <c r="D57" s="18"/>
      <c r="L57" s="87"/>
      <c r="M57" s="87"/>
      <c r="N57" s="87"/>
      <c r="O57" s="87"/>
      <c r="P57" s="87"/>
      <c r="Q57" s="87"/>
    </row>
    <row r="58" spans="1:11" ht="31.5" customHeight="1">
      <c r="A58" s="19" t="s">
        <v>68</v>
      </c>
      <c r="B58" s="59" t="s">
        <v>69</v>
      </c>
      <c r="C58" s="60"/>
      <c r="D58" s="18">
        <v>124128.9</v>
      </c>
      <c r="K58" s="2"/>
    </row>
    <row r="59" spans="1:11" ht="26.25" customHeight="1">
      <c r="A59" s="17" t="s">
        <v>70</v>
      </c>
      <c r="B59" s="59" t="s">
        <v>69</v>
      </c>
      <c r="C59" s="60"/>
      <c r="D59" s="18"/>
      <c r="K59" s="2"/>
    </row>
    <row r="60" spans="1:16" ht="24.75" customHeight="1">
      <c r="A60" s="17" t="s">
        <v>71</v>
      </c>
      <c r="B60" s="59" t="s">
        <v>69</v>
      </c>
      <c r="C60" s="60"/>
      <c r="D60" s="18"/>
      <c r="K60" s="2"/>
      <c r="L60" s="87"/>
      <c r="M60" s="87"/>
      <c r="N60" s="87"/>
      <c r="O60" s="87"/>
      <c r="P60" s="87"/>
    </row>
    <row r="61" spans="1:16" ht="25.5">
      <c r="A61" s="17" t="s">
        <v>72</v>
      </c>
      <c r="B61" s="59" t="s">
        <v>73</v>
      </c>
      <c r="C61" s="60"/>
      <c r="D61" s="18"/>
      <c r="K61" s="2"/>
      <c r="L61" s="87"/>
      <c r="M61" s="87"/>
      <c r="N61" s="87"/>
      <c r="O61" s="87"/>
      <c r="P61" s="87"/>
    </row>
    <row r="62" spans="1:16" ht="51">
      <c r="A62" s="20" t="s">
        <v>66</v>
      </c>
      <c r="B62" s="59" t="s">
        <v>67</v>
      </c>
      <c r="C62" s="60"/>
      <c r="D62" s="18">
        <v>143267</v>
      </c>
      <c r="K62" s="2"/>
      <c r="L62" s="87"/>
      <c r="M62" s="87"/>
      <c r="N62" s="87"/>
      <c r="O62" s="87"/>
      <c r="P62" s="87"/>
    </row>
    <row r="63" spans="1:16" ht="12.75">
      <c r="A63" s="19" t="s">
        <v>74</v>
      </c>
      <c r="B63" s="61"/>
      <c r="C63" s="62"/>
      <c r="D63" s="21">
        <f>D36+D51+D58+D43+D50+D42+D49+D52+D54+D62</f>
        <v>432415.72000000003</v>
      </c>
      <c r="K63" s="2"/>
      <c r="L63" s="87"/>
      <c r="M63" s="87"/>
      <c r="N63" s="87"/>
      <c r="O63" s="87"/>
      <c r="P63" s="87"/>
    </row>
    <row r="64" spans="1:16" ht="25.5" customHeight="1">
      <c r="A64" s="17" t="s">
        <v>173</v>
      </c>
      <c r="B64" s="59" t="s">
        <v>35</v>
      </c>
      <c r="C64" s="60"/>
      <c r="D64" s="12">
        <v>6820</v>
      </c>
      <c r="K64" s="2"/>
      <c r="L64" s="87"/>
      <c r="M64" s="87"/>
      <c r="N64" s="87"/>
      <c r="O64" s="87"/>
      <c r="P64" s="87"/>
    </row>
    <row r="65" spans="1:16" ht="25.5" customHeight="1">
      <c r="A65" s="17"/>
      <c r="B65" s="59"/>
      <c r="C65" s="60"/>
      <c r="D65" s="12"/>
      <c r="K65" s="2"/>
      <c r="L65" s="87"/>
      <c r="M65" s="87"/>
      <c r="N65" s="87"/>
      <c r="O65" s="87"/>
      <c r="P65" s="87"/>
    </row>
    <row r="66" spans="1:16" ht="12.75">
      <c r="A66" s="11"/>
      <c r="B66" s="11"/>
      <c r="C66" s="11"/>
      <c r="K66" s="93"/>
      <c r="L66" s="91"/>
      <c r="M66" s="91"/>
      <c r="N66" s="91"/>
      <c r="O66" s="91"/>
      <c r="P66" s="91"/>
    </row>
    <row r="67" spans="1:16" ht="12.75">
      <c r="A67" s="22" t="s">
        <v>76</v>
      </c>
      <c r="B67" s="22"/>
      <c r="C67" s="22"/>
      <c r="K67" s="2"/>
      <c r="L67" s="87"/>
      <c r="M67" s="87"/>
      <c r="N67" s="87"/>
      <c r="O67" s="87"/>
      <c r="P67" s="87"/>
    </row>
    <row r="68" spans="1:16" ht="12.75">
      <c r="A68" s="22" t="s">
        <v>77</v>
      </c>
      <c r="B68" s="22"/>
      <c r="C68" s="22"/>
      <c r="L68" s="87"/>
      <c r="M68" s="87"/>
      <c r="N68" s="87"/>
      <c r="O68" s="87"/>
      <c r="P68" s="87"/>
    </row>
    <row r="69" spans="1:16" ht="12.75">
      <c r="A69" s="22" t="s">
        <v>78</v>
      </c>
      <c r="B69" s="22"/>
      <c r="C69" s="22"/>
      <c r="L69" s="87"/>
      <c r="M69" s="87"/>
      <c r="N69" s="87"/>
      <c r="O69" s="87"/>
      <c r="P69" s="87"/>
    </row>
    <row r="70" spans="1:3" ht="12.75">
      <c r="A70" s="22" t="s">
        <v>79</v>
      </c>
      <c r="B70" s="22"/>
      <c r="C70" s="22"/>
    </row>
    <row r="71" spans="1:3" ht="12.75">
      <c r="A71" s="22" t="s">
        <v>84</v>
      </c>
      <c r="B71" s="1"/>
      <c r="C71" s="1"/>
    </row>
    <row r="72" spans="1:3" ht="12.75">
      <c r="A72" s="22" t="s">
        <v>85</v>
      </c>
      <c r="B72" s="1"/>
      <c r="C72" s="1"/>
    </row>
    <row r="73" spans="1:3" ht="12.75">
      <c r="A73" s="22" t="s">
        <v>86</v>
      </c>
      <c r="B73" s="1"/>
      <c r="C73" s="1"/>
    </row>
    <row r="74" spans="1:3" ht="12.75">
      <c r="A74" s="22"/>
      <c r="B74" s="1"/>
      <c r="C74" s="1"/>
    </row>
    <row r="75" spans="1:3" ht="12.75">
      <c r="A75" s="22"/>
      <c r="B75" s="1"/>
      <c r="C75" s="1"/>
    </row>
    <row r="76" spans="1:3" ht="12.75">
      <c r="A76" s="22" t="s">
        <v>80</v>
      </c>
      <c r="B76" s="22"/>
      <c r="C76" s="1"/>
    </row>
  </sheetData>
  <mergeCells count="54">
    <mergeCell ref="B65:C65"/>
    <mergeCell ref="B59:C59"/>
    <mergeCell ref="B60:C60"/>
    <mergeCell ref="B61:C61"/>
    <mergeCell ref="B63:C63"/>
    <mergeCell ref="B62:C62"/>
    <mergeCell ref="B56:C56"/>
    <mergeCell ref="B57:C57"/>
    <mergeCell ref="B58:C58"/>
    <mergeCell ref="B64:C64"/>
    <mergeCell ref="B52:C52"/>
    <mergeCell ref="B53:C53"/>
    <mergeCell ref="B54:C54"/>
    <mergeCell ref="B55:C55"/>
    <mergeCell ref="B48:C48"/>
    <mergeCell ref="B49:C49"/>
    <mergeCell ref="B50:C50"/>
    <mergeCell ref="B51:C51"/>
    <mergeCell ref="B44:C44"/>
    <mergeCell ref="B45:C45"/>
    <mergeCell ref="B46:C46"/>
    <mergeCell ref="B47:C47"/>
    <mergeCell ref="B40:C40"/>
    <mergeCell ref="B41:C41"/>
    <mergeCell ref="B42:C42"/>
    <mergeCell ref="B43:C43"/>
    <mergeCell ref="B36:C36"/>
    <mergeCell ref="B37:C37"/>
    <mergeCell ref="B38:C38"/>
    <mergeCell ref="B39:C39"/>
    <mergeCell ref="A31:C31"/>
    <mergeCell ref="A32:D32"/>
    <mergeCell ref="B34:C34"/>
    <mergeCell ref="B35:C35"/>
    <mergeCell ref="A26:B26"/>
    <mergeCell ref="A27:B27"/>
    <mergeCell ref="A28:B28"/>
    <mergeCell ref="A29:B29"/>
    <mergeCell ref="A22:B22"/>
    <mergeCell ref="A23:B23"/>
    <mergeCell ref="A24:B24"/>
    <mergeCell ref="A25:B25"/>
    <mergeCell ref="A18:B18"/>
    <mergeCell ref="A19:B19"/>
    <mergeCell ref="A20:B20"/>
    <mergeCell ref="A21:B21"/>
    <mergeCell ref="A14:B14"/>
    <mergeCell ref="A15:B15"/>
    <mergeCell ref="A16:B16"/>
    <mergeCell ref="A17:B17"/>
    <mergeCell ref="A5:C5"/>
    <mergeCell ref="A6:C6"/>
    <mergeCell ref="A7:C7"/>
    <mergeCell ref="A13:B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G85"/>
  <sheetViews>
    <sheetView workbookViewId="0" topLeftCell="A8">
      <selection activeCell="C8" sqref="C8"/>
    </sheetView>
  </sheetViews>
  <sheetFormatPr defaultColWidth="9.140625" defaultRowHeight="12.75"/>
  <cols>
    <col min="1" max="1" width="47.421875" style="0" customWidth="1"/>
    <col min="2" max="2" width="13.421875" style="0" customWidth="1"/>
    <col min="3" max="4" width="15.28125" style="0" customWidth="1"/>
  </cols>
  <sheetData>
    <row r="5" spans="1:3" ht="12.75">
      <c r="A5" s="24" t="s">
        <v>0</v>
      </c>
      <c r="B5" s="4"/>
      <c r="C5" s="4"/>
    </row>
    <row r="6" spans="1:3" ht="12.75">
      <c r="A6" s="24" t="s">
        <v>106</v>
      </c>
      <c r="B6" s="4"/>
      <c r="C6" s="4"/>
    </row>
    <row r="7" spans="1:3" ht="12.75">
      <c r="A7" s="24" t="s">
        <v>124</v>
      </c>
      <c r="B7" s="4"/>
      <c r="C7" s="4"/>
    </row>
    <row r="8" spans="1:3" ht="12.75">
      <c r="A8" s="3"/>
      <c r="B8" s="4"/>
      <c r="C8" s="4"/>
    </row>
    <row r="9" ht="12.75">
      <c r="A9" s="5" t="s">
        <v>151</v>
      </c>
    </row>
    <row r="11" ht="12.75">
      <c r="A11" t="s">
        <v>152</v>
      </c>
    </row>
    <row r="12" spans="1:4" ht="38.25">
      <c r="A12" s="45" t="s">
        <v>5</v>
      </c>
      <c r="B12" s="46"/>
      <c r="C12" s="6" t="s">
        <v>107</v>
      </c>
      <c r="D12" s="6" t="s">
        <v>7</v>
      </c>
    </row>
    <row r="13" spans="1:4" ht="12.75">
      <c r="A13" s="47" t="s">
        <v>8</v>
      </c>
      <c r="B13" s="48"/>
      <c r="C13" s="7">
        <v>0</v>
      </c>
      <c r="D13" s="7">
        <v>0</v>
      </c>
    </row>
    <row r="14" spans="1:4" ht="12.75">
      <c r="A14" s="47" t="s">
        <v>147</v>
      </c>
      <c r="B14" s="48"/>
      <c r="C14" s="6"/>
      <c r="D14" s="6"/>
    </row>
    <row r="15" spans="1:4" ht="12.75">
      <c r="A15" s="49" t="s">
        <v>125</v>
      </c>
      <c r="B15" s="50"/>
      <c r="C15" s="9">
        <f>C17+C18+C19+C20</f>
        <v>527337.9480000001</v>
      </c>
      <c r="D15" s="10">
        <f>27379.24+18659.9</f>
        <v>46039.14</v>
      </c>
    </row>
    <row r="16" spans="1:4" ht="12.75">
      <c r="A16" s="49" t="s">
        <v>11</v>
      </c>
      <c r="B16" s="50"/>
      <c r="C16" s="10"/>
      <c r="D16" s="10"/>
    </row>
    <row r="17" spans="1:4" ht="12.75">
      <c r="A17" s="51" t="s">
        <v>12</v>
      </c>
      <c r="B17" s="52"/>
      <c r="C17" s="9">
        <f>D35+D42+D49+D50+D51</f>
        <v>163001.66400000002</v>
      </c>
      <c r="D17" s="10"/>
    </row>
    <row r="18" spans="1:4" ht="12.75">
      <c r="A18" s="51" t="s">
        <v>13</v>
      </c>
      <c r="B18" s="52"/>
      <c r="C18" s="9">
        <f>D54+D56</f>
        <v>38242.656</v>
      </c>
      <c r="D18" s="10"/>
    </row>
    <row r="19" spans="1:4" ht="12.75">
      <c r="A19" s="51" t="s">
        <v>14</v>
      </c>
      <c r="B19" s="52"/>
      <c r="C19" s="9">
        <f>D63</f>
        <v>151377.18</v>
      </c>
      <c r="D19" s="10"/>
    </row>
    <row r="20" spans="1:4" ht="12.75">
      <c r="A20" s="51" t="s">
        <v>15</v>
      </c>
      <c r="B20" s="52"/>
      <c r="C20" s="9">
        <f>D67</f>
        <v>174716.44800000003</v>
      </c>
      <c r="D20" s="10"/>
    </row>
    <row r="21" spans="1:4" ht="12.75">
      <c r="A21" s="49" t="s">
        <v>16</v>
      </c>
      <c r="B21" s="50"/>
      <c r="C21" s="9">
        <f>C13+C15-C23</f>
        <v>484971.0880000001</v>
      </c>
      <c r="D21" s="10">
        <f>D13+D15-D23</f>
        <v>40863.78</v>
      </c>
    </row>
    <row r="22" spans="1:4" ht="12.75">
      <c r="A22" s="49" t="s">
        <v>17</v>
      </c>
      <c r="B22" s="50"/>
      <c r="C22" s="10"/>
      <c r="D22" s="10"/>
    </row>
    <row r="23" spans="1:4" ht="12.75">
      <c r="A23" s="49" t="s">
        <v>18</v>
      </c>
      <c r="B23" s="50"/>
      <c r="C23" s="10">
        <v>42366.86</v>
      </c>
      <c r="D23" s="10">
        <f>3077.76+2097.6</f>
        <v>5175.360000000001</v>
      </c>
    </row>
    <row r="24" spans="1:4" ht="12.75">
      <c r="A24" s="49" t="s">
        <v>83</v>
      </c>
      <c r="B24" s="50"/>
      <c r="C24" s="9">
        <f>D68</f>
        <v>527337.9480000001</v>
      </c>
      <c r="D24" s="10">
        <v>0</v>
      </c>
    </row>
    <row r="25" spans="1:4" ht="12.75">
      <c r="A25" s="49" t="s">
        <v>19</v>
      </c>
      <c r="B25" s="50"/>
      <c r="C25" s="9"/>
      <c r="D25" s="10">
        <v>0</v>
      </c>
    </row>
    <row r="26" spans="1:4" ht="12.75">
      <c r="A26" s="49" t="s">
        <v>20</v>
      </c>
      <c r="B26" s="50"/>
      <c r="C26" s="26"/>
      <c r="D26" s="10">
        <v>0</v>
      </c>
    </row>
    <row r="27" spans="1:4" ht="29.25" customHeight="1">
      <c r="A27" s="49" t="s">
        <v>99</v>
      </c>
      <c r="B27" s="50"/>
      <c r="C27" s="26"/>
      <c r="D27" s="10">
        <v>0</v>
      </c>
    </row>
    <row r="28" spans="1:4" ht="26.25" customHeight="1">
      <c r="A28" s="49" t="s">
        <v>22</v>
      </c>
      <c r="B28" s="50"/>
      <c r="C28" s="26"/>
      <c r="D28" s="10">
        <v>0</v>
      </c>
    </row>
    <row r="29" spans="1:4" ht="12.75">
      <c r="A29" s="67" t="s">
        <v>23</v>
      </c>
      <c r="B29" s="67"/>
      <c r="C29" s="67"/>
      <c r="D29" s="2"/>
    </row>
    <row r="30" spans="1:4" ht="12.75">
      <c r="A30" s="53" t="s">
        <v>24</v>
      </c>
      <c r="B30" s="53"/>
      <c r="C30" s="53"/>
      <c r="D30" s="2"/>
    </row>
    <row r="31" spans="1:4" ht="12.75">
      <c r="A31" s="2"/>
      <c r="B31" s="2"/>
      <c r="C31" s="2"/>
      <c r="D31" s="2"/>
    </row>
    <row r="32" spans="1:4" ht="25.5">
      <c r="A32" s="68" t="s">
        <v>25</v>
      </c>
      <c r="B32" s="69"/>
      <c r="C32" s="26" t="s">
        <v>138</v>
      </c>
      <c r="D32" s="26" t="s">
        <v>27</v>
      </c>
    </row>
    <row r="33" spans="1:4" ht="12.75">
      <c r="A33" s="27"/>
      <c r="B33" s="28"/>
      <c r="C33" s="28"/>
      <c r="D33" s="29"/>
    </row>
    <row r="34" spans="1:4" ht="12.75">
      <c r="A34" s="30" t="s">
        <v>28</v>
      </c>
      <c r="B34" s="31"/>
      <c r="C34" s="32"/>
      <c r="D34" s="33"/>
    </row>
    <row r="35" spans="1:7" ht="12.75">
      <c r="A35" s="79" t="s">
        <v>139</v>
      </c>
      <c r="B35" s="80"/>
      <c r="C35" s="32"/>
      <c r="D35" s="35">
        <f>9373.2*6.63</f>
        <v>62144.316000000006</v>
      </c>
      <c r="G35" s="2"/>
    </row>
    <row r="36" spans="1:7" ht="30" customHeight="1">
      <c r="A36" s="49" t="s">
        <v>30</v>
      </c>
      <c r="B36" s="50"/>
      <c r="C36" s="26" t="s">
        <v>31</v>
      </c>
      <c r="D36" s="9"/>
      <c r="G36" s="2"/>
    </row>
    <row r="37" spans="1:7" ht="12.75">
      <c r="A37" s="49" t="s">
        <v>32</v>
      </c>
      <c r="B37" s="50"/>
      <c r="C37" s="26" t="s">
        <v>33</v>
      </c>
      <c r="D37" s="9"/>
      <c r="G37" s="2"/>
    </row>
    <row r="38" spans="1:4" ht="12.75">
      <c r="A38" s="68" t="s">
        <v>140</v>
      </c>
      <c r="B38" s="69"/>
      <c r="C38" s="26" t="s">
        <v>35</v>
      </c>
      <c r="D38" s="9"/>
    </row>
    <row r="39" spans="1:4" ht="12.75">
      <c r="A39" s="49" t="s">
        <v>36</v>
      </c>
      <c r="B39" s="50"/>
      <c r="C39" s="26" t="s">
        <v>37</v>
      </c>
      <c r="D39" s="9"/>
    </row>
    <row r="40" spans="1:4" ht="12.75">
      <c r="A40" s="49" t="s">
        <v>38</v>
      </c>
      <c r="B40" s="50"/>
      <c r="C40" s="26" t="s">
        <v>39</v>
      </c>
      <c r="D40" s="9"/>
    </row>
    <row r="41" spans="1:4" ht="12.75">
      <c r="A41" s="49" t="s">
        <v>40</v>
      </c>
      <c r="B41" s="50"/>
      <c r="C41" s="26" t="s">
        <v>41</v>
      </c>
      <c r="D41" s="9"/>
    </row>
    <row r="42" spans="1:4" ht="12.75">
      <c r="A42" s="75" t="s">
        <v>42</v>
      </c>
      <c r="B42" s="76"/>
      <c r="C42" s="73" t="s">
        <v>141</v>
      </c>
      <c r="D42" s="9">
        <f>9373.2*2.2+18935.58</f>
        <v>39556.62000000001</v>
      </c>
    </row>
    <row r="43" spans="1:4" ht="12.75">
      <c r="A43" s="77"/>
      <c r="B43" s="78"/>
      <c r="C43" s="74"/>
      <c r="D43" s="9"/>
    </row>
    <row r="44" spans="1:4" ht="25.5">
      <c r="A44" s="49" t="s">
        <v>44</v>
      </c>
      <c r="B44" s="50"/>
      <c r="C44" s="26" t="s">
        <v>45</v>
      </c>
      <c r="D44" s="9"/>
    </row>
    <row r="45" spans="1:4" ht="25.5">
      <c r="A45" s="49" t="s">
        <v>46</v>
      </c>
      <c r="B45" s="50"/>
      <c r="C45" s="26" t="s">
        <v>45</v>
      </c>
      <c r="D45" s="9"/>
    </row>
    <row r="46" spans="1:4" ht="25.5">
      <c r="A46" s="49" t="s">
        <v>47</v>
      </c>
      <c r="B46" s="50"/>
      <c r="C46" s="26" t="s">
        <v>48</v>
      </c>
      <c r="D46" s="10"/>
    </row>
    <row r="47" spans="1:4" ht="31.5" customHeight="1">
      <c r="A47" s="49" t="s">
        <v>49</v>
      </c>
      <c r="B47" s="50"/>
      <c r="C47" s="26" t="s">
        <v>142</v>
      </c>
      <c r="D47" s="9"/>
    </row>
    <row r="48" spans="1:4" ht="20.25" customHeight="1">
      <c r="A48" s="49" t="s">
        <v>51</v>
      </c>
      <c r="B48" s="50"/>
      <c r="C48" s="26" t="s">
        <v>31</v>
      </c>
      <c r="D48" s="9"/>
    </row>
    <row r="49" spans="1:4" ht="27.75" customHeight="1">
      <c r="A49" s="49" t="s">
        <v>52</v>
      </c>
      <c r="B49" s="50"/>
      <c r="C49" s="26" t="s">
        <v>143</v>
      </c>
      <c r="D49" s="9">
        <f>9373.2*0.06</f>
        <v>562.392</v>
      </c>
    </row>
    <row r="50" spans="1:4" ht="12.75">
      <c r="A50" s="49" t="s">
        <v>54</v>
      </c>
      <c r="B50" s="50"/>
      <c r="C50" s="26" t="s">
        <v>31</v>
      </c>
      <c r="D50" s="9">
        <f>9373.2*4.99</f>
        <v>46772.268000000004</v>
      </c>
    </row>
    <row r="51" spans="1:4" ht="27" customHeight="1">
      <c r="A51" s="49" t="s">
        <v>108</v>
      </c>
      <c r="B51" s="50"/>
      <c r="C51" s="26" t="s">
        <v>109</v>
      </c>
      <c r="D51" s="9">
        <f>9373.2*1.49</f>
        <v>13966.068000000001</v>
      </c>
    </row>
    <row r="52" spans="1:4" ht="38.25">
      <c r="A52" s="49" t="s">
        <v>110</v>
      </c>
      <c r="B52" s="50"/>
      <c r="C52" s="26" t="s">
        <v>144</v>
      </c>
      <c r="D52" s="9"/>
    </row>
    <row r="53" spans="1:4" ht="12.75">
      <c r="A53" s="49" t="s">
        <v>148</v>
      </c>
      <c r="B53" s="50"/>
      <c r="C53" s="26"/>
      <c r="D53" s="9"/>
    </row>
    <row r="54" spans="1:4" ht="24" customHeight="1">
      <c r="A54" s="49" t="s">
        <v>145</v>
      </c>
      <c r="B54" s="50"/>
      <c r="C54" s="26" t="s">
        <v>41</v>
      </c>
      <c r="D54" s="9">
        <f>9373.2*0.37</f>
        <v>3468.0840000000003</v>
      </c>
    </row>
    <row r="55" spans="1:4" ht="38.25">
      <c r="A55" s="49" t="s">
        <v>61</v>
      </c>
      <c r="B55" s="50"/>
      <c r="C55" s="26" t="s">
        <v>62</v>
      </c>
      <c r="D55" s="9"/>
    </row>
    <row r="56" spans="1:4" ht="12.75">
      <c r="A56" s="61" t="s">
        <v>120</v>
      </c>
      <c r="B56" s="62"/>
      <c r="C56" s="26"/>
      <c r="D56" s="9">
        <f>9373.2*3.71</f>
        <v>34774.572</v>
      </c>
    </row>
    <row r="57" spans="1:4" ht="12.75">
      <c r="A57" s="49" t="s">
        <v>121</v>
      </c>
      <c r="B57" s="50"/>
      <c r="C57" s="26"/>
      <c r="D57" s="9"/>
    </row>
    <row r="58" spans="1:4" ht="12.75">
      <c r="A58" s="49" t="s">
        <v>122</v>
      </c>
      <c r="B58" s="50"/>
      <c r="C58" s="26"/>
      <c r="D58" s="9"/>
    </row>
    <row r="59" spans="1:4" ht="12.75">
      <c r="A59" s="49" t="s">
        <v>123</v>
      </c>
      <c r="B59" s="50"/>
      <c r="C59" s="26"/>
      <c r="D59" s="9"/>
    </row>
    <row r="60" spans="1:4" ht="33" customHeight="1">
      <c r="A60" s="49" t="s">
        <v>146</v>
      </c>
      <c r="B60" s="50"/>
      <c r="C60" s="26"/>
      <c r="D60" s="10"/>
    </row>
    <row r="61" spans="1:4" ht="33.75" customHeight="1">
      <c r="A61" s="49" t="s">
        <v>63</v>
      </c>
      <c r="B61" s="50"/>
      <c r="C61" s="26" t="s">
        <v>35</v>
      </c>
      <c r="D61" s="9"/>
    </row>
    <row r="62" spans="1:4" ht="21.75" customHeight="1">
      <c r="A62" s="49" t="s">
        <v>64</v>
      </c>
      <c r="B62" s="50"/>
      <c r="C62" s="26"/>
      <c r="D62" s="10"/>
    </row>
    <row r="63" spans="1:4" ht="12.75" customHeight="1">
      <c r="A63" s="61" t="s">
        <v>68</v>
      </c>
      <c r="B63" s="62"/>
      <c r="C63" s="26" t="s">
        <v>69</v>
      </c>
      <c r="D63" s="9">
        <f>9373.2*16.15</f>
        <v>151377.18</v>
      </c>
    </row>
    <row r="64" spans="1:4" ht="12.75">
      <c r="A64" s="49" t="s">
        <v>70</v>
      </c>
      <c r="B64" s="50"/>
      <c r="C64" s="26" t="s">
        <v>69</v>
      </c>
      <c r="D64" s="10"/>
    </row>
    <row r="65" spans="1:4" ht="12.75">
      <c r="A65" s="49" t="s">
        <v>71</v>
      </c>
      <c r="B65" s="50"/>
      <c r="C65" s="26" t="s">
        <v>69</v>
      </c>
      <c r="D65" s="10"/>
    </row>
    <row r="66" spans="1:4" ht="12.75">
      <c r="A66" s="49" t="s">
        <v>72</v>
      </c>
      <c r="B66" s="50"/>
      <c r="C66" s="26" t="s">
        <v>73</v>
      </c>
      <c r="D66" s="10"/>
    </row>
    <row r="67" spans="1:4" ht="39" customHeight="1">
      <c r="A67" s="61" t="s">
        <v>115</v>
      </c>
      <c r="B67" s="62"/>
      <c r="C67" s="26" t="s">
        <v>67</v>
      </c>
      <c r="D67" s="9">
        <f>9373.2*18.64</f>
        <v>174716.44800000003</v>
      </c>
    </row>
    <row r="68" spans="1:4" ht="12.75">
      <c r="A68" s="63" t="s">
        <v>74</v>
      </c>
      <c r="B68" s="64"/>
      <c r="C68" s="19"/>
      <c r="D68" s="21">
        <f>D35+D42+D49+D50+D51+D54+D56+D62+D63+D55+D67</f>
        <v>527337.9480000001</v>
      </c>
    </row>
    <row r="69" spans="1:4" ht="12.75">
      <c r="A69" s="49" t="s">
        <v>155</v>
      </c>
      <c r="B69" s="50"/>
      <c r="C69" s="26" t="s">
        <v>156</v>
      </c>
      <c r="D69" s="10">
        <v>957.1</v>
      </c>
    </row>
    <row r="70" spans="1:4" ht="12.75">
      <c r="A70" s="70"/>
      <c r="B70" s="70"/>
      <c r="C70" s="2"/>
      <c r="D70" s="2"/>
    </row>
    <row r="71" spans="1:4" ht="12.75">
      <c r="A71" s="22" t="s">
        <v>76</v>
      </c>
      <c r="B71" s="22"/>
      <c r="C71" s="22"/>
      <c r="D71" s="2"/>
    </row>
    <row r="72" spans="1:4" ht="12.75">
      <c r="A72" s="22" t="s">
        <v>77</v>
      </c>
      <c r="B72" s="22"/>
      <c r="C72" s="22"/>
      <c r="D72" s="2"/>
    </row>
    <row r="73" spans="1:4" ht="12.75">
      <c r="A73" s="22" t="s">
        <v>129</v>
      </c>
      <c r="B73" s="22"/>
      <c r="C73" s="22"/>
      <c r="D73" s="2"/>
    </row>
    <row r="74" spans="1:4" ht="12.75">
      <c r="A74" s="22" t="s">
        <v>126</v>
      </c>
      <c r="B74" s="22"/>
      <c r="C74" s="22"/>
      <c r="D74" s="2"/>
    </row>
    <row r="75" spans="1:4" ht="12.75">
      <c r="A75" s="22" t="s">
        <v>84</v>
      </c>
      <c r="B75" s="1"/>
      <c r="C75" s="1"/>
      <c r="D75" s="2"/>
    </row>
    <row r="76" spans="1:4" ht="12.75">
      <c r="A76" s="22" t="s">
        <v>85</v>
      </c>
      <c r="B76" s="1"/>
      <c r="C76" s="1"/>
      <c r="D76" s="2"/>
    </row>
    <row r="77" spans="1:4" ht="12.75">
      <c r="A77" s="22" t="s">
        <v>86</v>
      </c>
      <c r="B77" s="1"/>
      <c r="C77" s="1"/>
      <c r="D77" s="2"/>
    </row>
    <row r="78" spans="1:4" ht="12.75">
      <c r="A78" s="1"/>
      <c r="B78" s="1"/>
      <c r="C78" s="1"/>
      <c r="D78" s="2"/>
    </row>
    <row r="79" spans="1:4" ht="12.75">
      <c r="A79" s="22"/>
      <c r="B79" s="1"/>
      <c r="C79" s="1"/>
      <c r="D79" s="2"/>
    </row>
    <row r="80" spans="1:4" ht="12.75">
      <c r="A80" s="22" t="s">
        <v>116</v>
      </c>
      <c r="B80" s="22"/>
      <c r="C80" s="1"/>
      <c r="D80" s="2"/>
    </row>
    <row r="85" ht="12.75">
      <c r="A85" s="22"/>
    </row>
  </sheetData>
  <mergeCells count="56"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C29"/>
    <mergeCell ref="A30:C30"/>
    <mergeCell ref="A32:B32"/>
    <mergeCell ref="A35:B35"/>
    <mergeCell ref="A36:B36"/>
    <mergeCell ref="A37:B37"/>
    <mergeCell ref="A38:B38"/>
    <mergeCell ref="A39:B39"/>
    <mergeCell ref="A40:B40"/>
    <mergeCell ref="A41:B41"/>
    <mergeCell ref="A42:B43"/>
    <mergeCell ref="C42:C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70:B70"/>
    <mergeCell ref="A67:B67"/>
    <mergeCell ref="A68:B68"/>
    <mergeCell ref="A69:B69"/>
  </mergeCells>
  <printOptions/>
  <pageMargins left="0.75" right="0.75" top="1" bottom="1" header="0.5" footer="0.5"/>
  <pageSetup horizontalDpi="600" verticalDpi="600" orientation="portrait" paperSize="9" scale="95" r:id="rId1"/>
  <colBreaks count="1" manualBreakCount="1">
    <brk id="4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3:R71"/>
  <sheetViews>
    <sheetView workbookViewId="0" topLeftCell="A4">
      <selection activeCell="C7" sqref="C7"/>
    </sheetView>
  </sheetViews>
  <sheetFormatPr defaultColWidth="9.140625" defaultRowHeight="12.75"/>
  <cols>
    <col min="1" max="1" width="50.140625" style="0" customWidth="1"/>
    <col min="2" max="2" width="1.28515625" style="0" customWidth="1"/>
    <col min="3" max="3" width="16.28125" style="0" customWidth="1"/>
    <col min="4" max="4" width="15.421875" style="0" customWidth="1"/>
    <col min="5" max="5" width="12.7109375" style="0" customWidth="1"/>
    <col min="6" max="6" width="14.28125" style="0" customWidth="1"/>
    <col min="7" max="7" width="15.00390625" style="0" customWidth="1"/>
    <col min="8" max="8" width="9.421875" style="0" customWidth="1"/>
  </cols>
  <sheetData>
    <row r="3" spans="1:9" ht="12.75">
      <c r="A3" s="1"/>
      <c r="B3" s="1"/>
      <c r="C3" s="1"/>
      <c r="D3" s="1"/>
      <c r="E3" s="1"/>
      <c r="F3" s="2"/>
      <c r="G3" s="2"/>
      <c r="H3" s="2"/>
      <c r="I3" s="2"/>
    </row>
    <row r="4" spans="1:4" ht="12.75">
      <c r="A4" s="44" t="s">
        <v>0</v>
      </c>
      <c r="B4" s="44"/>
      <c r="C4" s="44"/>
      <c r="D4" s="1"/>
    </row>
    <row r="5" spans="1:4" ht="12.75">
      <c r="A5" s="44" t="s">
        <v>1</v>
      </c>
      <c r="B5" s="44"/>
      <c r="C5" s="44"/>
      <c r="D5" s="1"/>
    </row>
    <row r="6" spans="1:4" ht="12.75">
      <c r="A6" s="44" t="s">
        <v>2</v>
      </c>
      <c r="B6" s="44"/>
      <c r="C6" s="44"/>
      <c r="D6" s="2"/>
    </row>
    <row r="7" spans="1:4" ht="12.75">
      <c r="A7" s="3"/>
      <c r="B7" s="4"/>
      <c r="C7" s="4"/>
      <c r="D7" s="2"/>
    </row>
    <row r="8" spans="1:4" ht="12.75">
      <c r="A8" s="5" t="s">
        <v>94</v>
      </c>
      <c r="D8" s="2"/>
    </row>
    <row r="9" ht="12.75">
      <c r="D9" s="2"/>
    </row>
    <row r="10" spans="1:4" ht="12.75">
      <c r="A10" t="s">
        <v>95</v>
      </c>
      <c r="D10" s="2"/>
    </row>
    <row r="11" spans="1:11" ht="51">
      <c r="A11" s="45" t="s">
        <v>5</v>
      </c>
      <c r="B11" s="46"/>
      <c r="C11" s="6" t="s">
        <v>6</v>
      </c>
      <c r="D11" s="6" t="s">
        <v>7</v>
      </c>
      <c r="E11" s="6" t="s">
        <v>89</v>
      </c>
      <c r="K11" s="81"/>
    </row>
    <row r="12" spans="1:11" ht="12.75">
      <c r="A12" s="47" t="s">
        <v>8</v>
      </c>
      <c r="B12" s="48"/>
      <c r="C12" s="7">
        <v>0</v>
      </c>
      <c r="D12" s="7">
        <v>0</v>
      </c>
      <c r="E12" s="7">
        <v>3412.8</v>
      </c>
      <c r="K12" s="82"/>
    </row>
    <row r="13" spans="1:11" ht="12.75">
      <c r="A13" s="47" t="s">
        <v>9</v>
      </c>
      <c r="B13" s="48"/>
      <c r="C13" s="8"/>
      <c r="D13" s="6"/>
      <c r="E13" s="8">
        <v>97948</v>
      </c>
      <c r="K13" s="83"/>
    </row>
    <row r="14" spans="1:11" ht="12.75">
      <c r="A14" s="49" t="s">
        <v>10</v>
      </c>
      <c r="B14" s="50"/>
      <c r="C14" s="9">
        <f>C16+C17+C18+C19</f>
        <v>384009.504</v>
      </c>
      <c r="D14" s="10">
        <f>18210.08+12410.8</f>
        <v>30620.88</v>
      </c>
      <c r="E14" s="9">
        <v>40953.6</v>
      </c>
      <c r="K14" s="84"/>
    </row>
    <row r="15" spans="1:11" ht="12.75">
      <c r="A15" s="49" t="s">
        <v>11</v>
      </c>
      <c r="B15" s="50"/>
      <c r="C15" s="9"/>
      <c r="D15" s="10"/>
      <c r="E15" s="9"/>
      <c r="K15" s="84"/>
    </row>
    <row r="16" spans="1:11" ht="12.75">
      <c r="A16" s="51" t="s">
        <v>12</v>
      </c>
      <c r="B16" s="52"/>
      <c r="C16" s="9">
        <f>D34+D41+D47+D48</f>
        <v>116514.23999999999</v>
      </c>
      <c r="D16" s="10"/>
      <c r="E16" s="9"/>
      <c r="K16" s="84"/>
    </row>
    <row r="17" spans="1:11" ht="12.75">
      <c r="A17" s="51" t="s">
        <v>13</v>
      </c>
      <c r="B17" s="52"/>
      <c r="C17" s="9">
        <f>D50+D52</f>
        <v>30032.640000000003</v>
      </c>
      <c r="D17" s="10"/>
      <c r="E17" s="9"/>
      <c r="K17" s="84"/>
    </row>
    <row r="18" spans="1:11" ht="12.75">
      <c r="A18" s="51" t="s">
        <v>14</v>
      </c>
      <c r="B18" s="52"/>
      <c r="C18" s="9">
        <f>D56</f>
        <v>110233.44</v>
      </c>
      <c r="D18" s="10"/>
      <c r="E18" s="9"/>
      <c r="K18" s="84"/>
    </row>
    <row r="19" spans="1:11" ht="12.75">
      <c r="A19" s="51" t="s">
        <v>15</v>
      </c>
      <c r="B19" s="52"/>
      <c r="C19" s="9">
        <f>D60</f>
        <v>127229.18400000001</v>
      </c>
      <c r="D19" s="10"/>
      <c r="E19" s="9"/>
      <c r="K19" s="84"/>
    </row>
    <row r="20" spans="1:11" ht="12.75">
      <c r="A20" s="49" t="s">
        <v>16</v>
      </c>
      <c r="B20" s="50"/>
      <c r="C20" s="9">
        <f>C12+C14-C22</f>
        <v>353157.794</v>
      </c>
      <c r="D20" s="10">
        <f>D12+D14-D22</f>
        <v>28248.84</v>
      </c>
      <c r="E20" s="9">
        <f>E12+E14-E22</f>
        <v>40953.6</v>
      </c>
      <c r="K20" s="84"/>
    </row>
    <row r="21" spans="1:11" ht="12.75">
      <c r="A21" s="49" t="s">
        <v>17</v>
      </c>
      <c r="B21" s="50"/>
      <c r="C21" s="10">
        <v>0</v>
      </c>
      <c r="D21" s="10"/>
      <c r="E21" s="10"/>
      <c r="K21" s="37"/>
    </row>
    <row r="22" spans="1:11" ht="12.75">
      <c r="A22" s="49" t="s">
        <v>18</v>
      </c>
      <c r="B22" s="50"/>
      <c r="C22" s="10">
        <v>30851.71</v>
      </c>
      <c r="D22" s="10">
        <f>1410.64+961.4</f>
        <v>2372.04</v>
      </c>
      <c r="E22" s="9">
        <v>3412.8</v>
      </c>
      <c r="K22" s="37"/>
    </row>
    <row r="23" spans="1:11" ht="12.75">
      <c r="A23" s="49" t="s">
        <v>83</v>
      </c>
      <c r="B23" s="50"/>
      <c r="C23" s="9">
        <f>D61</f>
        <v>384009.50399999996</v>
      </c>
      <c r="D23" s="10">
        <v>0</v>
      </c>
      <c r="E23" s="9"/>
      <c r="K23" s="84"/>
    </row>
    <row r="24" spans="1:11" ht="12.75">
      <c r="A24" s="49" t="s">
        <v>19</v>
      </c>
      <c r="B24" s="50"/>
      <c r="C24" s="9">
        <v>0</v>
      </c>
      <c r="D24" s="10">
        <v>0</v>
      </c>
      <c r="E24" s="9">
        <v>0</v>
      </c>
      <c r="K24" s="84"/>
    </row>
    <row r="25" spans="1:18" ht="12.75">
      <c r="A25" s="49" t="s">
        <v>20</v>
      </c>
      <c r="B25" s="50"/>
      <c r="C25" s="9">
        <v>0</v>
      </c>
      <c r="D25" s="10">
        <v>0</v>
      </c>
      <c r="E25" s="9">
        <f>E13+E20</f>
        <v>138901.6</v>
      </c>
      <c r="G25" s="87"/>
      <c r="H25" s="87"/>
      <c r="I25" s="87"/>
      <c r="J25" s="87"/>
      <c r="K25" s="94"/>
      <c r="L25" s="87"/>
      <c r="M25" s="87"/>
      <c r="N25" s="87"/>
      <c r="O25" s="87"/>
      <c r="P25" s="87"/>
      <c r="Q25" s="87"/>
      <c r="R25" s="87"/>
    </row>
    <row r="26" spans="1:18" ht="25.5" customHeight="1">
      <c r="A26" s="49" t="s">
        <v>21</v>
      </c>
      <c r="B26" s="50"/>
      <c r="C26" s="9">
        <v>0</v>
      </c>
      <c r="D26" s="10">
        <v>0</v>
      </c>
      <c r="E26" s="9"/>
      <c r="G26" s="87"/>
      <c r="H26" s="87"/>
      <c r="I26" s="87"/>
      <c r="J26" s="87"/>
      <c r="K26" s="94"/>
      <c r="L26" s="87"/>
      <c r="M26" s="87"/>
      <c r="N26" s="87"/>
      <c r="O26" s="87"/>
      <c r="P26" s="87"/>
      <c r="Q26" s="87"/>
      <c r="R26" s="87"/>
    </row>
    <row r="27" spans="1:18" ht="28.5" customHeight="1">
      <c r="A27" s="49" t="s">
        <v>22</v>
      </c>
      <c r="B27" s="50"/>
      <c r="C27" s="9">
        <v>0</v>
      </c>
      <c r="D27" s="10">
        <v>0</v>
      </c>
      <c r="E27" s="9"/>
      <c r="G27" s="87"/>
      <c r="H27" s="87"/>
      <c r="I27" s="87"/>
      <c r="J27" s="87"/>
      <c r="K27" s="94"/>
      <c r="L27" s="87"/>
      <c r="M27" s="87"/>
      <c r="N27" s="87"/>
      <c r="O27" s="87"/>
      <c r="P27" s="87"/>
      <c r="Q27" s="87"/>
      <c r="R27" s="87"/>
    </row>
    <row r="28" spans="1:18" ht="12.75">
      <c r="A28" s="2"/>
      <c r="B28" s="2"/>
      <c r="C28" s="2"/>
      <c r="D28" s="2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</row>
    <row r="29" spans="1:18" ht="12.75">
      <c r="A29" s="53" t="s">
        <v>23</v>
      </c>
      <c r="B29" s="53"/>
      <c r="C29" s="53"/>
      <c r="D29" s="2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1:18" ht="12.75" customHeight="1">
      <c r="A30" s="53" t="s">
        <v>24</v>
      </c>
      <c r="B30" s="53"/>
      <c r="C30" s="53"/>
      <c r="D30" s="53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1" spans="1:18" ht="12.75">
      <c r="A31" s="11"/>
      <c r="B31" s="11"/>
      <c r="C31" s="11"/>
      <c r="D31" s="2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</row>
    <row r="32" spans="1:18" ht="25.5" customHeight="1">
      <c r="A32" s="12" t="s">
        <v>25</v>
      </c>
      <c r="B32" s="54" t="s">
        <v>26</v>
      </c>
      <c r="C32" s="55"/>
      <c r="D32" s="12" t="s">
        <v>27</v>
      </c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1:18" ht="12.75">
      <c r="A33" s="13" t="s">
        <v>28</v>
      </c>
      <c r="B33" s="56"/>
      <c r="C33" s="57"/>
      <c r="D33" s="14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</row>
    <row r="34" spans="1:18" ht="12.75">
      <c r="A34" s="15" t="s">
        <v>29</v>
      </c>
      <c r="B34" s="58"/>
      <c r="C34" s="57"/>
      <c r="D34" s="16">
        <f>6825.6*7.8</f>
        <v>53239.68</v>
      </c>
      <c r="G34" s="87"/>
      <c r="H34" s="87"/>
      <c r="I34" s="87"/>
      <c r="J34" s="87"/>
      <c r="K34" s="86"/>
      <c r="L34" s="87"/>
      <c r="M34" s="87"/>
      <c r="N34" s="87"/>
      <c r="O34" s="87"/>
      <c r="P34" s="87"/>
      <c r="Q34" s="87"/>
      <c r="R34" s="87"/>
    </row>
    <row r="35" spans="1:18" ht="25.5" customHeight="1">
      <c r="A35" s="17" t="s">
        <v>30</v>
      </c>
      <c r="B35" s="59" t="s">
        <v>31</v>
      </c>
      <c r="C35" s="60"/>
      <c r="D35" s="18"/>
      <c r="G35" s="87"/>
      <c r="H35" s="87"/>
      <c r="I35" s="87"/>
      <c r="J35" s="87"/>
      <c r="K35" s="86"/>
      <c r="L35" s="87"/>
      <c r="M35" s="87"/>
      <c r="N35" s="87"/>
      <c r="O35" s="87"/>
      <c r="P35" s="87"/>
      <c r="Q35" s="87"/>
      <c r="R35" s="87"/>
    </row>
    <row r="36" spans="1:18" ht="18" customHeight="1">
      <c r="A36" s="17" t="s">
        <v>32</v>
      </c>
      <c r="B36" s="59" t="s">
        <v>33</v>
      </c>
      <c r="C36" s="60"/>
      <c r="D36" s="18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</row>
    <row r="37" spans="1:18" ht="13.5" customHeight="1">
      <c r="A37" s="17" t="s">
        <v>34</v>
      </c>
      <c r="B37" s="59" t="s">
        <v>35</v>
      </c>
      <c r="C37" s="60"/>
      <c r="D37" s="18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</row>
    <row r="38" spans="1:18" ht="22.5" customHeight="1">
      <c r="A38" s="17" t="s">
        <v>36</v>
      </c>
      <c r="B38" s="59" t="s">
        <v>37</v>
      </c>
      <c r="C38" s="60"/>
      <c r="D38" s="18"/>
      <c r="G38" s="87"/>
      <c r="H38" s="87"/>
      <c r="I38" s="87"/>
      <c r="J38" s="87"/>
      <c r="K38" s="88"/>
      <c r="L38" s="87"/>
      <c r="M38" s="87"/>
      <c r="N38" s="89"/>
      <c r="O38" s="87"/>
      <c r="P38" s="90"/>
      <c r="Q38" s="87"/>
      <c r="R38" s="87"/>
    </row>
    <row r="39" spans="1:18" ht="23.25" customHeight="1">
      <c r="A39" s="17" t="s">
        <v>38</v>
      </c>
      <c r="B39" s="59" t="s">
        <v>39</v>
      </c>
      <c r="C39" s="60"/>
      <c r="D39" s="18"/>
      <c r="G39" s="87"/>
      <c r="H39" s="87"/>
      <c r="I39" s="87"/>
      <c r="J39" s="87"/>
      <c r="K39" s="88"/>
      <c r="L39" s="87"/>
      <c r="M39" s="87"/>
      <c r="N39" s="89"/>
      <c r="O39" s="87"/>
      <c r="P39" s="90"/>
      <c r="Q39" s="87"/>
      <c r="R39" s="87"/>
    </row>
    <row r="40" spans="1:18" ht="24" customHeight="1">
      <c r="A40" s="17" t="s">
        <v>40</v>
      </c>
      <c r="B40" s="59" t="s">
        <v>41</v>
      </c>
      <c r="C40" s="60"/>
      <c r="D40" s="18"/>
      <c r="G40" s="87"/>
      <c r="H40" s="87"/>
      <c r="I40" s="87"/>
      <c r="J40" s="87"/>
      <c r="K40" s="88"/>
      <c r="L40" s="87"/>
      <c r="M40" s="87"/>
      <c r="N40" s="89"/>
      <c r="O40" s="87"/>
      <c r="P40" s="90"/>
      <c r="Q40" s="87"/>
      <c r="R40" s="87"/>
    </row>
    <row r="41" spans="1:18" ht="33" customHeight="1">
      <c r="A41" s="17" t="s">
        <v>42</v>
      </c>
      <c r="B41" s="59" t="s">
        <v>43</v>
      </c>
      <c r="C41" s="60"/>
      <c r="D41" s="18">
        <f>6825.6*2.2+13788.96</f>
        <v>28805.28</v>
      </c>
      <c r="G41" s="87"/>
      <c r="H41" s="87"/>
      <c r="I41" s="87"/>
      <c r="J41" s="87"/>
      <c r="K41" s="88"/>
      <c r="L41" s="87"/>
      <c r="M41" s="87"/>
      <c r="N41" s="89"/>
      <c r="O41" s="87"/>
      <c r="P41" s="90"/>
      <c r="Q41" s="87"/>
      <c r="R41" s="87"/>
    </row>
    <row r="42" spans="1:18" ht="33" customHeight="1">
      <c r="A42" s="17" t="s">
        <v>44</v>
      </c>
      <c r="B42" s="59" t="s">
        <v>45</v>
      </c>
      <c r="C42" s="60"/>
      <c r="D42" s="18"/>
      <c r="G42" s="87"/>
      <c r="H42" s="87"/>
      <c r="I42" s="87"/>
      <c r="J42" s="87"/>
      <c r="K42" s="88"/>
      <c r="L42" s="87"/>
      <c r="M42" s="87"/>
      <c r="N42" s="89"/>
      <c r="O42" s="87"/>
      <c r="P42" s="90"/>
      <c r="Q42" s="87"/>
      <c r="R42" s="87"/>
    </row>
    <row r="43" spans="1:18" ht="40.5" customHeight="1">
      <c r="A43" s="17" t="s">
        <v>46</v>
      </c>
      <c r="B43" s="59" t="s">
        <v>45</v>
      </c>
      <c r="C43" s="60"/>
      <c r="D43" s="18"/>
      <c r="G43" s="87"/>
      <c r="H43" s="87"/>
      <c r="I43" s="87"/>
      <c r="J43" s="87"/>
      <c r="K43" s="88"/>
      <c r="L43" s="87"/>
      <c r="M43" s="87"/>
      <c r="N43" s="89"/>
      <c r="O43" s="87"/>
      <c r="P43" s="90"/>
      <c r="Q43" s="87"/>
      <c r="R43" s="87"/>
    </row>
    <row r="44" spans="1:18" ht="25.5" customHeight="1">
      <c r="A44" s="17" t="s">
        <v>47</v>
      </c>
      <c r="B44" s="59" t="s">
        <v>48</v>
      </c>
      <c r="C44" s="60"/>
      <c r="D44" s="18"/>
      <c r="G44" s="87"/>
      <c r="H44" s="87"/>
      <c r="I44" s="87"/>
      <c r="J44" s="87"/>
      <c r="K44" s="88"/>
      <c r="L44" s="87"/>
      <c r="M44" s="87"/>
      <c r="N44" s="89"/>
      <c r="O44" s="87"/>
      <c r="P44" s="90"/>
      <c r="Q44" s="87"/>
      <c r="R44" s="87"/>
    </row>
    <row r="45" spans="1:18" ht="25.5">
      <c r="A45" s="17" t="s">
        <v>49</v>
      </c>
      <c r="B45" s="59" t="s">
        <v>50</v>
      </c>
      <c r="C45" s="60"/>
      <c r="D45" s="18"/>
      <c r="G45" s="87"/>
      <c r="H45" s="87"/>
      <c r="I45" s="87"/>
      <c r="J45" s="87"/>
      <c r="K45" s="88"/>
      <c r="L45" s="87"/>
      <c r="M45" s="87"/>
      <c r="N45" s="89"/>
      <c r="O45" s="87"/>
      <c r="P45" s="90"/>
      <c r="Q45" s="87"/>
      <c r="R45" s="87"/>
    </row>
    <row r="46" spans="1:18" ht="25.5" customHeight="1">
      <c r="A46" s="17" t="s">
        <v>51</v>
      </c>
      <c r="B46" s="59" t="s">
        <v>31</v>
      </c>
      <c r="C46" s="60"/>
      <c r="D46" s="18"/>
      <c r="G46" s="87"/>
      <c r="H46" s="87"/>
      <c r="I46" s="87"/>
      <c r="J46" s="87"/>
      <c r="K46" s="88"/>
      <c r="L46" s="87"/>
      <c r="M46" s="87"/>
      <c r="N46" s="89"/>
      <c r="O46" s="87"/>
      <c r="P46" s="90"/>
      <c r="Q46" s="87"/>
      <c r="R46" s="87"/>
    </row>
    <row r="47" spans="1:18" ht="25.5">
      <c r="A47" s="17" t="s">
        <v>52</v>
      </c>
      <c r="B47" s="59" t="s">
        <v>53</v>
      </c>
      <c r="C47" s="60"/>
      <c r="D47" s="18">
        <f>6825.6*0.06</f>
        <v>409.536</v>
      </c>
      <c r="G47" s="87"/>
      <c r="H47" s="87"/>
      <c r="I47" s="87"/>
      <c r="J47" s="87"/>
      <c r="K47" s="87"/>
      <c r="L47" s="87"/>
      <c r="M47" s="87"/>
      <c r="N47" s="90"/>
      <c r="O47" s="87"/>
      <c r="P47" s="90"/>
      <c r="Q47" s="87"/>
      <c r="R47" s="87"/>
    </row>
    <row r="48" spans="1:18" ht="24.75" customHeight="1">
      <c r="A48" s="17" t="s">
        <v>54</v>
      </c>
      <c r="B48" s="59" t="s">
        <v>31</v>
      </c>
      <c r="C48" s="60"/>
      <c r="D48" s="18">
        <f>6825.6*4.99</f>
        <v>34059.744000000006</v>
      </c>
      <c r="G48" s="87"/>
      <c r="H48" s="87"/>
      <c r="I48" s="87"/>
      <c r="J48" s="87"/>
      <c r="K48" s="88"/>
      <c r="L48" s="87"/>
      <c r="M48" s="91"/>
      <c r="N48" s="92"/>
      <c r="O48" s="91"/>
      <c r="P48" s="92"/>
      <c r="Q48" s="87"/>
      <c r="R48" s="87"/>
    </row>
    <row r="49" spans="1:18" ht="12.75">
      <c r="A49" s="19" t="s">
        <v>55</v>
      </c>
      <c r="B49" s="59"/>
      <c r="C49" s="60"/>
      <c r="D49" s="18"/>
      <c r="G49" s="87"/>
      <c r="H49" s="87"/>
      <c r="I49" s="87"/>
      <c r="J49" s="87"/>
      <c r="K49" s="87"/>
      <c r="L49" s="87"/>
      <c r="M49" s="87"/>
      <c r="N49" s="87"/>
      <c r="O49" s="87"/>
      <c r="P49" s="90"/>
      <c r="Q49" s="87"/>
      <c r="R49" s="87"/>
    </row>
    <row r="50" spans="1:18" ht="24.75" customHeight="1">
      <c r="A50" s="17" t="s">
        <v>56</v>
      </c>
      <c r="B50" s="59" t="s">
        <v>41</v>
      </c>
      <c r="C50" s="60"/>
      <c r="D50" s="18">
        <f>6825.6*0.69</f>
        <v>4709.664</v>
      </c>
      <c r="G50" s="87"/>
      <c r="H50" s="87"/>
      <c r="I50" s="87"/>
      <c r="J50" s="87"/>
      <c r="K50" s="87"/>
      <c r="L50" s="87"/>
      <c r="M50" s="87"/>
      <c r="N50" s="87"/>
      <c r="O50" s="87"/>
      <c r="P50" s="90"/>
      <c r="Q50" s="87"/>
      <c r="R50" s="87"/>
    </row>
    <row r="51" spans="1:18" ht="38.25" customHeight="1">
      <c r="A51" s="17" t="s">
        <v>57</v>
      </c>
      <c r="B51" s="59" t="s">
        <v>58</v>
      </c>
      <c r="C51" s="60"/>
      <c r="D51" s="18"/>
      <c r="G51" s="87"/>
      <c r="H51" s="87"/>
      <c r="I51" s="87"/>
      <c r="J51" s="87"/>
      <c r="K51" s="87"/>
      <c r="L51" s="87"/>
      <c r="M51" s="87"/>
      <c r="N51" s="87"/>
      <c r="O51" s="87"/>
      <c r="P51" s="90"/>
      <c r="Q51" s="87"/>
      <c r="R51" s="87"/>
    </row>
    <row r="52" spans="1:18" ht="28.5" customHeight="1">
      <c r="A52" s="17" t="s">
        <v>59</v>
      </c>
      <c r="B52" s="59" t="s">
        <v>60</v>
      </c>
      <c r="C52" s="60"/>
      <c r="D52" s="18">
        <f>6825.6*3.71</f>
        <v>25322.976000000002</v>
      </c>
      <c r="G52" s="87"/>
      <c r="H52" s="87"/>
      <c r="I52" s="87"/>
      <c r="J52" s="87"/>
      <c r="K52" s="87"/>
      <c r="L52" s="87"/>
      <c r="M52" s="87"/>
      <c r="N52" s="87"/>
      <c r="O52" s="91"/>
      <c r="P52" s="92"/>
      <c r="Q52" s="87"/>
      <c r="R52" s="87"/>
    </row>
    <row r="53" spans="1:18" ht="40.5" customHeight="1">
      <c r="A53" s="17" t="s">
        <v>61</v>
      </c>
      <c r="B53" s="59" t="s">
        <v>62</v>
      </c>
      <c r="C53" s="60"/>
      <c r="D53" s="18"/>
      <c r="G53" s="87"/>
      <c r="H53" s="87"/>
      <c r="I53" s="87"/>
      <c r="J53" s="87"/>
      <c r="K53" s="88"/>
      <c r="L53" s="87"/>
      <c r="M53" s="87"/>
      <c r="N53" s="87"/>
      <c r="O53" s="87"/>
      <c r="P53" s="87"/>
      <c r="Q53" s="87"/>
      <c r="R53" s="87"/>
    </row>
    <row r="54" spans="1:18" ht="38.25">
      <c r="A54" s="17" t="s">
        <v>63</v>
      </c>
      <c r="B54" s="59" t="s">
        <v>35</v>
      </c>
      <c r="C54" s="60"/>
      <c r="D54" s="18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18" ht="38.25" customHeight="1">
      <c r="A55" s="17" t="s">
        <v>64</v>
      </c>
      <c r="B55" s="59" t="s">
        <v>65</v>
      </c>
      <c r="C55" s="60"/>
      <c r="D55" s="18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18" ht="31.5" customHeight="1">
      <c r="A56" s="19" t="s">
        <v>68</v>
      </c>
      <c r="B56" s="59" t="s">
        <v>69</v>
      </c>
      <c r="C56" s="60"/>
      <c r="D56" s="18">
        <f>6825.6*16.15</f>
        <v>110233.44</v>
      </c>
      <c r="G56" s="87"/>
      <c r="H56" s="87"/>
      <c r="I56" s="87"/>
      <c r="J56" s="87"/>
      <c r="K56" s="86"/>
      <c r="L56" s="87"/>
      <c r="M56" s="87"/>
      <c r="N56" s="87"/>
      <c r="O56" s="87"/>
      <c r="P56" s="87"/>
      <c r="Q56" s="87"/>
      <c r="R56" s="87"/>
    </row>
    <row r="57" spans="1:18" ht="26.25" customHeight="1">
      <c r="A57" s="17" t="s">
        <v>70</v>
      </c>
      <c r="B57" s="59" t="s">
        <v>69</v>
      </c>
      <c r="C57" s="60"/>
      <c r="D57" s="18"/>
      <c r="G57" s="87"/>
      <c r="H57" s="87"/>
      <c r="I57" s="87"/>
      <c r="J57" s="87"/>
      <c r="K57" s="86"/>
      <c r="L57" s="87"/>
      <c r="M57" s="87"/>
      <c r="N57" s="87"/>
      <c r="O57" s="87"/>
      <c r="P57" s="87"/>
      <c r="Q57" s="87"/>
      <c r="R57" s="87"/>
    </row>
    <row r="58" spans="1:18" ht="24.75" customHeight="1">
      <c r="A58" s="17" t="s">
        <v>71</v>
      </c>
      <c r="B58" s="59" t="s">
        <v>69</v>
      </c>
      <c r="C58" s="60"/>
      <c r="D58" s="18"/>
      <c r="G58" s="87"/>
      <c r="H58" s="87"/>
      <c r="I58" s="87"/>
      <c r="J58" s="87"/>
      <c r="K58" s="86"/>
      <c r="L58" s="87"/>
      <c r="M58" s="87"/>
      <c r="N58" s="87"/>
      <c r="O58" s="87"/>
      <c r="P58" s="87"/>
      <c r="Q58" s="87"/>
      <c r="R58" s="87"/>
    </row>
    <row r="59" spans="1:18" ht="25.5">
      <c r="A59" s="17" t="s">
        <v>72</v>
      </c>
      <c r="B59" s="59" t="s">
        <v>73</v>
      </c>
      <c r="C59" s="60"/>
      <c r="D59" s="18"/>
      <c r="G59" s="87"/>
      <c r="H59" s="87"/>
      <c r="I59" s="87"/>
      <c r="J59" s="87"/>
      <c r="K59" s="86"/>
      <c r="L59" s="87"/>
      <c r="M59" s="87"/>
      <c r="N59" s="87"/>
      <c r="O59" s="87"/>
      <c r="P59" s="87"/>
      <c r="Q59" s="87"/>
      <c r="R59" s="87"/>
    </row>
    <row r="60" spans="1:18" ht="51">
      <c r="A60" s="20" t="s">
        <v>66</v>
      </c>
      <c r="B60" s="59" t="s">
        <v>67</v>
      </c>
      <c r="C60" s="60"/>
      <c r="D60" s="18">
        <f>6825.6*18.64</f>
        <v>127229.18400000001</v>
      </c>
      <c r="G60" s="87"/>
      <c r="H60" s="87"/>
      <c r="I60" s="87"/>
      <c r="J60" s="87"/>
      <c r="K60" s="86"/>
      <c r="L60" s="87"/>
      <c r="M60" s="87"/>
      <c r="N60" s="87"/>
      <c r="O60" s="87"/>
      <c r="P60" s="87"/>
      <c r="Q60" s="87"/>
      <c r="R60" s="87"/>
    </row>
    <row r="61" spans="1:18" ht="12.75">
      <c r="A61" s="19" t="s">
        <v>74</v>
      </c>
      <c r="B61" s="61"/>
      <c r="C61" s="62"/>
      <c r="D61" s="21">
        <f>D34+D49+D56+D41+D48+D40+D47+D50+D52+D60</f>
        <v>384009.50399999996</v>
      </c>
      <c r="G61" s="87"/>
      <c r="H61" s="87"/>
      <c r="I61" s="87"/>
      <c r="J61" s="87"/>
      <c r="K61" s="86"/>
      <c r="L61" s="87"/>
      <c r="M61" s="87"/>
      <c r="N61" s="87"/>
      <c r="O61" s="87"/>
      <c r="P61" s="87"/>
      <c r="Q61" s="87"/>
      <c r="R61" s="87"/>
    </row>
    <row r="62" spans="1:18" ht="12.75">
      <c r="A62" s="11"/>
      <c r="B62" s="11"/>
      <c r="C62" s="11"/>
      <c r="G62" s="87"/>
      <c r="H62" s="87"/>
      <c r="I62" s="87"/>
      <c r="J62" s="87"/>
      <c r="K62" s="93"/>
      <c r="L62" s="91"/>
      <c r="M62" s="91"/>
      <c r="N62" s="91"/>
      <c r="O62" s="91"/>
      <c r="P62" s="91"/>
      <c r="Q62" s="87"/>
      <c r="R62" s="87"/>
    </row>
    <row r="63" spans="1:18" ht="12.75">
      <c r="A63" s="22" t="s">
        <v>76</v>
      </c>
      <c r="B63" s="22"/>
      <c r="C63" s="22"/>
      <c r="G63" s="87"/>
      <c r="H63" s="87"/>
      <c r="I63" s="87"/>
      <c r="J63" s="87"/>
      <c r="K63" s="86"/>
      <c r="L63" s="87"/>
      <c r="M63" s="87"/>
      <c r="N63" s="87"/>
      <c r="O63" s="87"/>
      <c r="P63" s="87"/>
      <c r="Q63" s="87"/>
      <c r="R63" s="87"/>
    </row>
    <row r="64" spans="1:3" ht="12.75">
      <c r="A64" s="22" t="s">
        <v>77</v>
      </c>
      <c r="B64" s="22"/>
      <c r="C64" s="22"/>
    </row>
    <row r="65" spans="1:3" ht="12.75">
      <c r="A65" s="22" t="s">
        <v>78</v>
      </c>
      <c r="B65" s="22"/>
      <c r="C65" s="22"/>
    </row>
    <row r="66" spans="1:3" ht="12.75">
      <c r="A66" s="22" t="s">
        <v>79</v>
      </c>
      <c r="B66" s="22"/>
      <c r="C66" s="22"/>
    </row>
    <row r="67" spans="1:3" ht="12.75">
      <c r="A67" s="22" t="s">
        <v>84</v>
      </c>
      <c r="B67" s="1"/>
      <c r="C67" s="1"/>
    </row>
    <row r="68" spans="1:3" ht="12.75">
      <c r="A68" s="22" t="s">
        <v>85</v>
      </c>
      <c r="B68" s="1"/>
      <c r="C68" s="1"/>
    </row>
    <row r="69" spans="1:3" ht="12.75">
      <c r="A69" s="22" t="s">
        <v>86</v>
      </c>
      <c r="B69" s="1"/>
      <c r="C69" s="1"/>
    </row>
    <row r="70" spans="1:3" ht="12.75">
      <c r="A70" s="22"/>
      <c r="B70" s="1"/>
      <c r="C70" s="1"/>
    </row>
    <row r="71" spans="1:3" ht="12.75">
      <c r="A71" s="22" t="s">
        <v>80</v>
      </c>
      <c r="B71" s="22"/>
      <c r="C71" s="1"/>
    </row>
  </sheetData>
  <mergeCells count="52">
    <mergeCell ref="A4:C4"/>
    <mergeCell ref="A5:C5"/>
    <mergeCell ref="A6:C6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9:C29"/>
    <mergeCell ref="A30:D30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</mergeCells>
  <printOptions/>
  <pageMargins left="0.75" right="0.75" top="1" bottom="1" header="0.5" footer="0.5"/>
  <pageSetup horizontalDpi="600" verticalDpi="600" orientation="portrait" paperSize="9" scale="90" r:id="rId1"/>
  <colBreaks count="1" manualBreakCount="1">
    <brk id="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3:Q73"/>
  <sheetViews>
    <sheetView workbookViewId="0" topLeftCell="A6">
      <selection activeCell="D6" sqref="D6"/>
    </sheetView>
  </sheetViews>
  <sheetFormatPr defaultColWidth="9.140625" defaultRowHeight="12.75"/>
  <cols>
    <col min="1" max="1" width="50.140625" style="0" customWidth="1"/>
    <col min="2" max="2" width="1.28515625" style="0" customWidth="1"/>
    <col min="3" max="3" width="16.28125" style="0" customWidth="1"/>
    <col min="4" max="4" width="15.421875" style="0" customWidth="1"/>
    <col min="5" max="5" width="12.7109375" style="0" customWidth="1"/>
    <col min="6" max="6" width="14.28125" style="0" customWidth="1"/>
    <col min="7" max="7" width="15.00390625" style="0" customWidth="1"/>
    <col min="8" max="8" width="9.421875" style="0" customWidth="1"/>
  </cols>
  <sheetData>
    <row r="3" spans="1:9" ht="12.75">
      <c r="A3" s="1"/>
      <c r="B3" s="1"/>
      <c r="C3" s="1"/>
      <c r="D3" s="1"/>
      <c r="E3" s="1"/>
      <c r="F3" s="2"/>
      <c r="G3" s="2"/>
      <c r="H3" s="2"/>
      <c r="I3" s="2"/>
    </row>
    <row r="4" spans="1:9" ht="12.75">
      <c r="A4" s="1"/>
      <c r="B4" s="1"/>
      <c r="C4" s="1"/>
      <c r="D4" s="1"/>
      <c r="E4" s="1"/>
      <c r="F4" s="2"/>
      <c r="G4" s="2"/>
      <c r="H4" s="2"/>
      <c r="I4" s="2"/>
    </row>
    <row r="5" spans="1:4" ht="12.75">
      <c r="A5" s="44" t="s">
        <v>0</v>
      </c>
      <c r="B5" s="44"/>
      <c r="C5" s="44"/>
      <c r="D5" s="1"/>
    </row>
    <row r="6" spans="1:4" ht="12.75">
      <c r="A6" s="44" t="s">
        <v>1</v>
      </c>
      <c r="B6" s="44"/>
      <c r="C6" s="44"/>
      <c r="D6" s="1"/>
    </row>
    <row r="7" spans="1:4" ht="12.75">
      <c r="A7" s="44" t="s">
        <v>2</v>
      </c>
      <c r="B7" s="44"/>
      <c r="C7" s="44"/>
      <c r="D7" s="2"/>
    </row>
    <row r="8" spans="1:4" ht="12.75">
      <c r="A8" s="3"/>
      <c r="B8" s="4"/>
      <c r="C8" s="4"/>
      <c r="D8" s="2"/>
    </row>
    <row r="9" spans="1:4" ht="12.75">
      <c r="A9" s="5" t="s">
        <v>96</v>
      </c>
      <c r="D9" s="2"/>
    </row>
    <row r="10" ht="12.75">
      <c r="D10" s="2"/>
    </row>
    <row r="11" spans="1:4" ht="12.75">
      <c r="A11" t="s">
        <v>97</v>
      </c>
      <c r="D11" s="2"/>
    </row>
    <row r="12" spans="1:11" ht="51">
      <c r="A12" s="45" t="s">
        <v>5</v>
      </c>
      <c r="B12" s="46"/>
      <c r="C12" s="6" t="s">
        <v>6</v>
      </c>
      <c r="D12" s="6" t="s">
        <v>7</v>
      </c>
      <c r="E12" s="6" t="s">
        <v>89</v>
      </c>
      <c r="K12" s="95"/>
    </row>
    <row r="13" spans="1:11" ht="12.75">
      <c r="A13" s="47" t="s">
        <v>8</v>
      </c>
      <c r="B13" s="48"/>
      <c r="C13" s="7">
        <v>0</v>
      </c>
      <c r="D13" s="7">
        <v>0</v>
      </c>
      <c r="E13" s="7">
        <v>3914</v>
      </c>
      <c r="K13" s="96"/>
    </row>
    <row r="14" spans="1:11" ht="12.75">
      <c r="A14" s="47" t="s">
        <v>9</v>
      </c>
      <c r="B14" s="48"/>
      <c r="C14" s="8"/>
      <c r="D14" s="7">
        <v>0</v>
      </c>
      <c r="E14" s="8">
        <v>116258</v>
      </c>
      <c r="K14" s="97"/>
    </row>
    <row r="15" spans="1:11" ht="12.75">
      <c r="A15" s="49" t="s">
        <v>10</v>
      </c>
      <c r="B15" s="50"/>
      <c r="C15" s="9">
        <f>C17+C18+C19+C20</f>
        <v>426542.204</v>
      </c>
      <c r="D15" s="9">
        <f>34047.72+23204.7</f>
        <v>57252.42</v>
      </c>
      <c r="E15" s="9">
        <v>45489.6</v>
      </c>
      <c r="K15" s="94"/>
    </row>
    <row r="16" spans="1:11" ht="12.75">
      <c r="A16" s="49" t="s">
        <v>11</v>
      </c>
      <c r="B16" s="50"/>
      <c r="C16" s="9"/>
      <c r="D16" s="9"/>
      <c r="E16" s="9"/>
      <c r="K16" s="94"/>
    </row>
    <row r="17" spans="1:11" ht="12.75">
      <c r="A17" s="51" t="s">
        <v>12</v>
      </c>
      <c r="B17" s="52"/>
      <c r="C17" s="9">
        <f>D35+D42+D48+D49</f>
        <v>129419.29999999999</v>
      </c>
      <c r="D17" s="9"/>
      <c r="E17" s="9"/>
      <c r="K17" s="94"/>
    </row>
    <row r="18" spans="1:11" ht="12.75">
      <c r="A18" s="51" t="s">
        <v>13</v>
      </c>
      <c r="B18" s="52"/>
      <c r="C18" s="9">
        <f>D51+D53</f>
        <v>33359.04</v>
      </c>
      <c r="D18" s="9"/>
      <c r="E18" s="9"/>
      <c r="K18" s="94"/>
    </row>
    <row r="19" spans="1:11" ht="12.75">
      <c r="A19" s="51" t="s">
        <v>14</v>
      </c>
      <c r="B19" s="52"/>
      <c r="C19" s="9">
        <f>D57</f>
        <v>122442.84</v>
      </c>
      <c r="D19" s="9"/>
      <c r="E19" s="9"/>
      <c r="K19" s="94"/>
    </row>
    <row r="20" spans="1:11" ht="12.75">
      <c r="A20" s="51" t="s">
        <v>15</v>
      </c>
      <c r="B20" s="52"/>
      <c r="C20" s="9">
        <f>D61</f>
        <v>141321.024</v>
      </c>
      <c r="D20" s="9"/>
      <c r="E20" s="9"/>
      <c r="K20" s="94"/>
    </row>
    <row r="21" spans="1:11" ht="12.75">
      <c r="A21" s="49" t="s">
        <v>16</v>
      </c>
      <c r="B21" s="50"/>
      <c r="C21" s="9">
        <f>C13+C15-C23</f>
        <v>392273.374</v>
      </c>
      <c r="D21" s="9">
        <f>D13+D15-D23</f>
        <v>54017.82</v>
      </c>
      <c r="E21" s="9">
        <f>E13+E15</f>
        <v>49403.6</v>
      </c>
      <c r="K21" s="94"/>
    </row>
    <row r="22" spans="1:11" ht="12.75">
      <c r="A22" s="49" t="s">
        <v>17</v>
      </c>
      <c r="B22" s="50"/>
      <c r="C22" s="10">
        <v>0</v>
      </c>
      <c r="D22" s="10"/>
      <c r="E22" s="10"/>
      <c r="K22" s="98"/>
    </row>
    <row r="23" spans="1:11" ht="12.75">
      <c r="A23" s="49" t="s">
        <v>18</v>
      </c>
      <c r="B23" s="50"/>
      <c r="C23" s="10">
        <v>34268.83</v>
      </c>
      <c r="D23" s="9">
        <f>1923.6+1311</f>
        <v>3234.6</v>
      </c>
      <c r="E23" s="9">
        <v>3790.8</v>
      </c>
      <c r="K23" s="98"/>
    </row>
    <row r="24" spans="1:11" ht="12.75">
      <c r="A24" s="49" t="s">
        <v>83</v>
      </c>
      <c r="B24" s="50"/>
      <c r="C24" s="9">
        <f>D62</f>
        <v>426542.204</v>
      </c>
      <c r="D24" s="9"/>
      <c r="E24" s="9"/>
      <c r="K24" s="94"/>
    </row>
    <row r="25" spans="1:11" ht="12.75">
      <c r="A25" s="49" t="s">
        <v>19</v>
      </c>
      <c r="B25" s="50"/>
      <c r="C25" s="9">
        <v>0</v>
      </c>
      <c r="D25" s="9"/>
      <c r="E25" s="9">
        <v>0</v>
      </c>
      <c r="K25" s="94"/>
    </row>
    <row r="26" spans="1:11" ht="12.75">
      <c r="A26" s="49" t="s">
        <v>20</v>
      </c>
      <c r="B26" s="50"/>
      <c r="C26" s="9">
        <v>0</v>
      </c>
      <c r="D26" s="9"/>
      <c r="E26" s="9">
        <f>E14+E21</f>
        <v>165661.6</v>
      </c>
      <c r="K26" s="94"/>
    </row>
    <row r="27" spans="1:11" ht="25.5" customHeight="1">
      <c r="A27" s="49" t="s">
        <v>21</v>
      </c>
      <c r="B27" s="50"/>
      <c r="C27" s="9">
        <v>0</v>
      </c>
      <c r="D27" s="9"/>
      <c r="E27" s="9"/>
      <c r="K27" s="94"/>
    </row>
    <row r="28" spans="1:11" ht="28.5" customHeight="1">
      <c r="A28" s="49" t="s">
        <v>22</v>
      </c>
      <c r="B28" s="50"/>
      <c r="C28" s="9">
        <v>0</v>
      </c>
      <c r="D28" s="9"/>
      <c r="E28" s="9"/>
      <c r="K28" s="94"/>
    </row>
    <row r="29" spans="1:11" ht="12.75">
      <c r="A29" s="2"/>
      <c r="B29" s="2"/>
      <c r="C29" s="2"/>
      <c r="D29" s="2"/>
      <c r="K29" s="99"/>
    </row>
    <row r="30" spans="1:4" ht="12.75">
      <c r="A30" s="53" t="s">
        <v>23</v>
      </c>
      <c r="B30" s="53"/>
      <c r="C30" s="53"/>
      <c r="D30" s="2"/>
    </row>
    <row r="31" spans="1:4" ht="12.75" customHeight="1">
      <c r="A31" s="53" t="s">
        <v>24</v>
      </c>
      <c r="B31" s="53"/>
      <c r="C31" s="53"/>
      <c r="D31" s="53"/>
    </row>
    <row r="32" spans="1:4" ht="12.75">
      <c r="A32" s="11"/>
      <c r="B32" s="11"/>
      <c r="C32" s="11"/>
      <c r="D32" s="2"/>
    </row>
    <row r="33" spans="1:4" ht="25.5" customHeight="1">
      <c r="A33" s="12" t="s">
        <v>25</v>
      </c>
      <c r="B33" s="54" t="s">
        <v>26</v>
      </c>
      <c r="C33" s="55"/>
      <c r="D33" s="12" t="s">
        <v>27</v>
      </c>
    </row>
    <row r="34" spans="1:4" ht="12.75">
      <c r="A34" s="13" t="s">
        <v>28</v>
      </c>
      <c r="B34" s="56"/>
      <c r="C34" s="57"/>
      <c r="D34" s="14"/>
    </row>
    <row r="35" spans="1:17" ht="12.75">
      <c r="A35" s="15" t="s">
        <v>29</v>
      </c>
      <c r="B35" s="58"/>
      <c r="C35" s="57"/>
      <c r="D35" s="16">
        <f>7581.6*7.8</f>
        <v>59136.48</v>
      </c>
      <c r="K35" s="2"/>
      <c r="L35" s="87"/>
      <c r="M35" s="87"/>
      <c r="N35" s="87"/>
      <c r="O35" s="87"/>
      <c r="P35" s="87"/>
      <c r="Q35" s="87"/>
    </row>
    <row r="36" spans="1:17" ht="25.5" customHeight="1">
      <c r="A36" s="17" t="s">
        <v>30</v>
      </c>
      <c r="B36" s="59" t="s">
        <v>31</v>
      </c>
      <c r="C36" s="60"/>
      <c r="D36" s="18"/>
      <c r="K36" s="2"/>
      <c r="L36" s="87"/>
      <c r="M36" s="87"/>
      <c r="N36" s="87"/>
      <c r="O36" s="87"/>
      <c r="P36" s="87"/>
      <c r="Q36" s="87"/>
    </row>
    <row r="37" spans="1:17" ht="18" customHeight="1">
      <c r="A37" s="17" t="s">
        <v>32</v>
      </c>
      <c r="B37" s="59" t="s">
        <v>33</v>
      </c>
      <c r="C37" s="60"/>
      <c r="D37" s="18"/>
      <c r="L37" s="87"/>
      <c r="M37" s="87"/>
      <c r="N37" s="87"/>
      <c r="O37" s="87"/>
      <c r="P37" s="87"/>
      <c r="Q37" s="87"/>
    </row>
    <row r="38" spans="1:17" ht="13.5" customHeight="1">
      <c r="A38" s="17" t="s">
        <v>34</v>
      </c>
      <c r="B38" s="59" t="s">
        <v>35</v>
      </c>
      <c r="C38" s="60"/>
      <c r="D38" s="18"/>
      <c r="L38" s="87"/>
      <c r="M38" s="87"/>
      <c r="N38" s="87"/>
      <c r="O38" s="87"/>
      <c r="P38" s="87"/>
      <c r="Q38" s="87"/>
    </row>
    <row r="39" spans="1:17" ht="22.5" customHeight="1">
      <c r="A39" s="17" t="s">
        <v>36</v>
      </c>
      <c r="B39" s="59" t="s">
        <v>37</v>
      </c>
      <c r="C39" s="60"/>
      <c r="D39" s="18"/>
      <c r="K39" s="23"/>
      <c r="L39" s="87"/>
      <c r="M39" s="87"/>
      <c r="N39" s="89"/>
      <c r="O39" s="87"/>
      <c r="P39" s="90"/>
      <c r="Q39" s="87"/>
    </row>
    <row r="40" spans="1:17" ht="23.25" customHeight="1">
      <c r="A40" s="17" t="s">
        <v>38</v>
      </c>
      <c r="B40" s="59" t="s">
        <v>39</v>
      </c>
      <c r="C40" s="60"/>
      <c r="D40" s="18"/>
      <c r="K40" s="23"/>
      <c r="L40" s="87"/>
      <c r="M40" s="87"/>
      <c r="N40" s="89"/>
      <c r="O40" s="87"/>
      <c r="P40" s="90"/>
      <c r="Q40" s="87"/>
    </row>
    <row r="41" spans="1:17" ht="24" customHeight="1">
      <c r="A41" s="17" t="s">
        <v>40</v>
      </c>
      <c r="B41" s="59" t="s">
        <v>41</v>
      </c>
      <c r="C41" s="60"/>
      <c r="D41" s="18"/>
      <c r="K41" s="23"/>
      <c r="L41" s="87"/>
      <c r="M41" s="87"/>
      <c r="N41" s="89"/>
      <c r="O41" s="87"/>
      <c r="P41" s="90"/>
      <c r="Q41" s="87"/>
    </row>
    <row r="42" spans="1:17" ht="33" customHeight="1">
      <c r="A42" s="17" t="s">
        <v>42</v>
      </c>
      <c r="B42" s="59" t="s">
        <v>43</v>
      </c>
      <c r="C42" s="60"/>
      <c r="D42" s="18">
        <f>7581.6*2.2+15316.22</f>
        <v>31995.739999999998</v>
      </c>
      <c r="K42" s="23"/>
      <c r="L42" s="87"/>
      <c r="M42" s="87"/>
      <c r="N42" s="89"/>
      <c r="O42" s="87"/>
      <c r="P42" s="90"/>
      <c r="Q42" s="87"/>
    </row>
    <row r="43" spans="1:17" ht="33" customHeight="1">
      <c r="A43" s="17" t="s">
        <v>44</v>
      </c>
      <c r="B43" s="59" t="s">
        <v>45</v>
      </c>
      <c r="C43" s="60"/>
      <c r="D43" s="18"/>
      <c r="K43" s="23"/>
      <c r="L43" s="87"/>
      <c r="M43" s="87"/>
      <c r="N43" s="89"/>
      <c r="O43" s="87"/>
      <c r="P43" s="90"/>
      <c r="Q43" s="87"/>
    </row>
    <row r="44" spans="1:17" ht="40.5" customHeight="1">
      <c r="A44" s="17" t="s">
        <v>46</v>
      </c>
      <c r="B44" s="59" t="s">
        <v>45</v>
      </c>
      <c r="C44" s="60"/>
      <c r="D44" s="18"/>
      <c r="K44" s="23"/>
      <c r="L44" s="87"/>
      <c r="M44" s="87"/>
      <c r="N44" s="89"/>
      <c r="O44" s="87"/>
      <c r="P44" s="90"/>
      <c r="Q44" s="87"/>
    </row>
    <row r="45" spans="1:17" ht="25.5" customHeight="1">
      <c r="A45" s="17" t="s">
        <v>47</v>
      </c>
      <c r="B45" s="59" t="s">
        <v>48</v>
      </c>
      <c r="C45" s="60"/>
      <c r="D45" s="18"/>
      <c r="K45" s="23"/>
      <c r="L45" s="87"/>
      <c r="M45" s="87"/>
      <c r="N45" s="89"/>
      <c r="O45" s="87"/>
      <c r="P45" s="90"/>
      <c r="Q45" s="87"/>
    </row>
    <row r="46" spans="1:17" ht="25.5">
      <c r="A46" s="17" t="s">
        <v>49</v>
      </c>
      <c r="B46" s="59" t="s">
        <v>50</v>
      </c>
      <c r="C46" s="60"/>
      <c r="D46" s="18"/>
      <c r="K46" s="23"/>
      <c r="L46" s="87"/>
      <c r="M46" s="87"/>
      <c r="N46" s="89"/>
      <c r="O46" s="87"/>
      <c r="P46" s="90"/>
      <c r="Q46" s="87"/>
    </row>
    <row r="47" spans="1:17" ht="25.5" customHeight="1">
      <c r="A47" s="17" t="s">
        <v>51</v>
      </c>
      <c r="B47" s="59" t="s">
        <v>31</v>
      </c>
      <c r="C47" s="60"/>
      <c r="D47" s="18"/>
      <c r="K47" s="23"/>
      <c r="L47" s="87"/>
      <c r="M47" s="87"/>
      <c r="N47" s="89"/>
      <c r="O47" s="87"/>
      <c r="P47" s="90"/>
      <c r="Q47" s="87"/>
    </row>
    <row r="48" spans="1:17" ht="25.5">
      <c r="A48" s="17" t="s">
        <v>52</v>
      </c>
      <c r="B48" s="59" t="s">
        <v>53</v>
      </c>
      <c r="C48" s="60"/>
      <c r="D48" s="18">
        <f>7581.6*0.06</f>
        <v>454.896</v>
      </c>
      <c r="L48" s="87"/>
      <c r="M48" s="87"/>
      <c r="N48" s="90"/>
      <c r="O48" s="87"/>
      <c r="P48" s="90"/>
      <c r="Q48" s="87"/>
    </row>
    <row r="49" spans="1:17" ht="24.75" customHeight="1">
      <c r="A49" s="17" t="s">
        <v>54</v>
      </c>
      <c r="B49" s="59" t="s">
        <v>31</v>
      </c>
      <c r="C49" s="60"/>
      <c r="D49" s="18">
        <f>7581.6*4.99</f>
        <v>37832.184</v>
      </c>
      <c r="K49" s="23"/>
      <c r="L49" s="87"/>
      <c r="M49" s="91"/>
      <c r="N49" s="92"/>
      <c r="O49" s="91"/>
      <c r="P49" s="92"/>
      <c r="Q49" s="87"/>
    </row>
    <row r="50" spans="1:17" ht="12.75">
      <c r="A50" s="19" t="s">
        <v>55</v>
      </c>
      <c r="B50" s="59"/>
      <c r="C50" s="60"/>
      <c r="D50" s="18"/>
      <c r="L50" s="87"/>
      <c r="M50" s="87"/>
      <c r="N50" s="87"/>
      <c r="O50" s="87"/>
      <c r="P50" s="90"/>
      <c r="Q50" s="87"/>
    </row>
    <row r="51" spans="1:17" ht="24.75" customHeight="1">
      <c r="A51" s="17" t="s">
        <v>56</v>
      </c>
      <c r="B51" s="59" t="s">
        <v>41</v>
      </c>
      <c r="C51" s="60"/>
      <c r="D51" s="18">
        <f>7581.6*0.69</f>
        <v>5231.304</v>
      </c>
      <c r="L51" s="87"/>
      <c r="M51" s="87"/>
      <c r="N51" s="87"/>
      <c r="O51" s="87"/>
      <c r="P51" s="90"/>
      <c r="Q51" s="87"/>
    </row>
    <row r="52" spans="1:17" ht="38.25" customHeight="1">
      <c r="A52" s="17" t="s">
        <v>57</v>
      </c>
      <c r="B52" s="59" t="s">
        <v>58</v>
      </c>
      <c r="C52" s="60"/>
      <c r="D52" s="18"/>
      <c r="L52" s="87"/>
      <c r="M52" s="87"/>
      <c r="N52" s="87"/>
      <c r="O52" s="87"/>
      <c r="P52" s="90"/>
      <c r="Q52" s="87"/>
    </row>
    <row r="53" spans="1:17" ht="28.5" customHeight="1">
      <c r="A53" s="17" t="s">
        <v>59</v>
      </c>
      <c r="B53" s="59" t="s">
        <v>60</v>
      </c>
      <c r="C53" s="60"/>
      <c r="D53" s="18">
        <f>7581.6*3.71</f>
        <v>28127.736</v>
      </c>
      <c r="L53" s="87"/>
      <c r="M53" s="87"/>
      <c r="N53" s="87"/>
      <c r="O53" s="91"/>
      <c r="P53" s="92"/>
      <c r="Q53" s="87"/>
    </row>
    <row r="54" spans="1:17" ht="40.5" customHeight="1">
      <c r="A54" s="17" t="s">
        <v>61</v>
      </c>
      <c r="B54" s="59" t="s">
        <v>62</v>
      </c>
      <c r="C54" s="60"/>
      <c r="D54" s="18"/>
      <c r="K54" s="88"/>
      <c r="L54" s="87"/>
      <c r="M54" s="87"/>
      <c r="N54" s="87"/>
      <c r="O54" s="87"/>
      <c r="P54" s="87"/>
      <c r="Q54" s="87"/>
    </row>
    <row r="55" spans="1:17" ht="38.25">
      <c r="A55" s="17" t="s">
        <v>63</v>
      </c>
      <c r="B55" s="59" t="s">
        <v>35</v>
      </c>
      <c r="C55" s="60"/>
      <c r="D55" s="18"/>
      <c r="K55" s="87"/>
      <c r="L55" s="87"/>
      <c r="M55" s="87"/>
      <c r="N55" s="87"/>
      <c r="O55" s="87"/>
      <c r="P55" s="87"/>
      <c r="Q55" s="87"/>
    </row>
    <row r="56" spans="1:17" ht="38.25" customHeight="1">
      <c r="A56" s="17" t="s">
        <v>64</v>
      </c>
      <c r="B56" s="59" t="s">
        <v>65</v>
      </c>
      <c r="C56" s="60"/>
      <c r="D56" s="18"/>
      <c r="K56" s="87"/>
      <c r="L56" s="87"/>
      <c r="M56" s="87"/>
      <c r="N56" s="87"/>
      <c r="O56" s="87"/>
      <c r="P56" s="87"/>
      <c r="Q56" s="87"/>
    </row>
    <row r="57" spans="1:17" ht="31.5" customHeight="1">
      <c r="A57" s="19" t="s">
        <v>68</v>
      </c>
      <c r="B57" s="59" t="s">
        <v>69</v>
      </c>
      <c r="C57" s="60"/>
      <c r="D57" s="18">
        <f>7581.6*16.15</f>
        <v>122442.84</v>
      </c>
      <c r="K57" s="86"/>
      <c r="L57" s="87"/>
      <c r="M57" s="87"/>
      <c r="N57" s="87"/>
      <c r="O57" s="87"/>
      <c r="P57" s="87"/>
      <c r="Q57" s="87"/>
    </row>
    <row r="58" spans="1:17" ht="26.25" customHeight="1">
      <c r="A58" s="17" t="s">
        <v>70</v>
      </c>
      <c r="B58" s="59" t="s">
        <v>69</v>
      </c>
      <c r="C58" s="60"/>
      <c r="D58" s="18"/>
      <c r="K58" s="86"/>
      <c r="L58" s="87"/>
      <c r="M58" s="87"/>
      <c r="N58" s="87"/>
      <c r="O58" s="87"/>
      <c r="P58" s="87"/>
      <c r="Q58" s="87"/>
    </row>
    <row r="59" spans="1:17" ht="24.75" customHeight="1">
      <c r="A59" s="17" t="s">
        <v>71</v>
      </c>
      <c r="B59" s="59" t="s">
        <v>69</v>
      </c>
      <c r="C59" s="60"/>
      <c r="D59" s="18"/>
      <c r="K59" s="86"/>
      <c r="L59" s="87"/>
      <c r="M59" s="87"/>
      <c r="N59" s="87"/>
      <c r="O59" s="87"/>
      <c r="P59" s="87"/>
      <c r="Q59" s="87"/>
    </row>
    <row r="60" spans="1:17" ht="25.5">
      <c r="A60" s="17" t="s">
        <v>72</v>
      </c>
      <c r="B60" s="59" t="s">
        <v>73</v>
      </c>
      <c r="C60" s="60"/>
      <c r="D60" s="18"/>
      <c r="K60" s="86"/>
      <c r="L60" s="87"/>
      <c r="M60" s="87"/>
      <c r="N60" s="87"/>
      <c r="O60" s="87"/>
      <c r="P60" s="87"/>
      <c r="Q60" s="87"/>
    </row>
    <row r="61" spans="1:17" ht="51">
      <c r="A61" s="20" t="s">
        <v>66</v>
      </c>
      <c r="B61" s="59" t="s">
        <v>67</v>
      </c>
      <c r="C61" s="60"/>
      <c r="D61" s="18">
        <f>7581.6*18.64</f>
        <v>141321.024</v>
      </c>
      <c r="K61" s="86"/>
      <c r="L61" s="87"/>
      <c r="M61" s="87"/>
      <c r="N61" s="87"/>
      <c r="O61" s="87"/>
      <c r="P61" s="87"/>
      <c r="Q61" s="87"/>
    </row>
    <row r="62" spans="1:17" ht="12.75">
      <c r="A62" s="19" t="s">
        <v>74</v>
      </c>
      <c r="B62" s="61"/>
      <c r="C62" s="62"/>
      <c r="D62" s="21">
        <f>D35+D50+D57+D42+D49+D41+D48+D51+D53+D61</f>
        <v>426542.204</v>
      </c>
      <c r="K62" s="86"/>
      <c r="L62" s="87"/>
      <c r="M62" s="87"/>
      <c r="N62" s="87"/>
      <c r="O62" s="87"/>
      <c r="P62" s="87"/>
      <c r="Q62" s="87"/>
    </row>
    <row r="63" spans="1:17" ht="12.75">
      <c r="A63" s="11"/>
      <c r="B63" s="11"/>
      <c r="C63" s="11"/>
      <c r="K63" s="93"/>
      <c r="L63" s="91"/>
      <c r="M63" s="91"/>
      <c r="N63" s="91"/>
      <c r="O63" s="91"/>
      <c r="P63" s="91"/>
      <c r="Q63" s="87"/>
    </row>
    <row r="64" spans="1:17" ht="12.75">
      <c r="A64" s="22" t="s">
        <v>76</v>
      </c>
      <c r="B64" s="22"/>
      <c r="C64" s="22"/>
      <c r="K64" s="2"/>
      <c r="L64" s="87"/>
      <c r="M64" s="87"/>
      <c r="N64" s="87"/>
      <c r="O64" s="87"/>
      <c r="P64" s="87"/>
      <c r="Q64" s="87"/>
    </row>
    <row r="65" spans="1:17" ht="12.75">
      <c r="A65" s="22" t="s">
        <v>77</v>
      </c>
      <c r="B65" s="22"/>
      <c r="C65" s="22"/>
      <c r="L65" s="87"/>
      <c r="M65" s="87"/>
      <c r="N65" s="87"/>
      <c r="O65" s="87"/>
      <c r="P65" s="87"/>
      <c r="Q65" s="87"/>
    </row>
    <row r="66" spans="1:17" ht="12.75">
      <c r="A66" s="22" t="s">
        <v>78</v>
      </c>
      <c r="B66" s="22"/>
      <c r="C66" s="22"/>
      <c r="L66" s="87"/>
      <c r="M66" s="87"/>
      <c r="N66" s="87"/>
      <c r="O66" s="87"/>
      <c r="P66" s="87"/>
      <c r="Q66" s="87"/>
    </row>
    <row r="67" spans="1:17" ht="12.75">
      <c r="A67" s="22" t="s">
        <v>79</v>
      </c>
      <c r="B67" s="22"/>
      <c r="C67" s="22"/>
      <c r="L67" s="87"/>
      <c r="M67" s="87"/>
      <c r="N67" s="87"/>
      <c r="O67" s="87"/>
      <c r="P67" s="87"/>
      <c r="Q67" s="87"/>
    </row>
    <row r="68" spans="1:17" ht="12.75">
      <c r="A68" s="22" t="s">
        <v>84</v>
      </c>
      <c r="B68" s="1"/>
      <c r="C68" s="1"/>
      <c r="L68" s="87"/>
      <c r="M68" s="87"/>
      <c r="N68" s="87"/>
      <c r="O68" s="87"/>
      <c r="P68" s="87"/>
      <c r="Q68" s="87"/>
    </row>
    <row r="69" spans="1:17" ht="12.75">
      <c r="A69" s="22" t="s">
        <v>85</v>
      </c>
      <c r="B69" s="1"/>
      <c r="C69" s="1"/>
      <c r="L69" s="87"/>
      <c r="M69" s="87"/>
      <c r="N69" s="87"/>
      <c r="O69" s="87"/>
      <c r="P69" s="87"/>
      <c r="Q69" s="87"/>
    </row>
    <row r="70" spans="1:17" ht="12.75">
      <c r="A70" s="22" t="s">
        <v>86</v>
      </c>
      <c r="B70" s="1"/>
      <c r="C70" s="1"/>
      <c r="L70" s="87"/>
      <c r="M70" s="87"/>
      <c r="N70" s="87"/>
      <c r="O70" s="87"/>
      <c r="P70" s="87"/>
      <c r="Q70" s="87"/>
    </row>
    <row r="71" spans="1:17" ht="12.75">
      <c r="A71" s="22"/>
      <c r="B71" s="1"/>
      <c r="C71" s="1"/>
      <c r="L71" s="87"/>
      <c r="M71" s="87"/>
      <c r="N71" s="87"/>
      <c r="O71" s="87"/>
      <c r="P71" s="87"/>
      <c r="Q71" s="87"/>
    </row>
    <row r="72" spans="1:3" ht="12.75">
      <c r="A72" s="22"/>
      <c r="B72" s="1"/>
      <c r="C72" s="1"/>
    </row>
    <row r="73" spans="1:3" ht="12.75">
      <c r="A73" s="22" t="s">
        <v>80</v>
      </c>
      <c r="B73" s="22"/>
      <c r="C73" s="1"/>
    </row>
  </sheetData>
  <mergeCells count="52">
    <mergeCell ref="A5:C5"/>
    <mergeCell ref="A6:C6"/>
    <mergeCell ref="A7:C7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30:C30"/>
    <mergeCell ref="A31:D31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</mergeCells>
  <printOptions/>
  <pageMargins left="0.75" right="0.75" top="1" bottom="1" header="0.5" footer="0.5"/>
  <pageSetup horizontalDpi="600" verticalDpi="600" orientation="portrait" paperSize="9" scale="90" r:id="rId1"/>
  <colBreaks count="1" manualBreakCount="1">
    <brk id="5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5:G81"/>
  <sheetViews>
    <sheetView workbookViewId="0" topLeftCell="A8">
      <selection activeCell="A8" sqref="A8"/>
    </sheetView>
  </sheetViews>
  <sheetFormatPr defaultColWidth="9.140625" defaultRowHeight="12.75"/>
  <cols>
    <col min="1" max="1" width="48.140625" style="0" customWidth="1"/>
    <col min="2" max="2" width="16.421875" style="0" hidden="1" customWidth="1"/>
    <col min="3" max="3" width="17.421875" style="0" customWidth="1"/>
    <col min="4" max="4" width="15.57421875" style="0" customWidth="1"/>
    <col min="5" max="5" width="14.57421875" style="0" customWidth="1"/>
    <col min="7" max="7" width="11.140625" style="0" customWidth="1"/>
  </cols>
  <sheetData>
    <row r="5" spans="1:3" ht="12.75">
      <c r="A5" s="24" t="s">
        <v>0</v>
      </c>
      <c r="B5" s="4"/>
      <c r="C5" s="4"/>
    </row>
    <row r="6" spans="1:3" ht="12.75">
      <c r="A6" s="24" t="s">
        <v>106</v>
      </c>
      <c r="B6" s="4"/>
      <c r="C6" s="4"/>
    </row>
    <row r="7" spans="1:3" ht="12.75">
      <c r="A7" s="24" t="s">
        <v>124</v>
      </c>
      <c r="B7" s="4"/>
      <c r="C7" s="4"/>
    </row>
    <row r="8" spans="1:3" ht="12.75">
      <c r="A8" s="3"/>
      <c r="B8" s="4"/>
      <c r="C8" s="4"/>
    </row>
    <row r="9" ht="12.75">
      <c r="A9" s="5" t="s">
        <v>132</v>
      </c>
    </row>
    <row r="11" ht="12.75">
      <c r="A11" t="s">
        <v>133</v>
      </c>
    </row>
    <row r="12" spans="1:5" ht="38.25">
      <c r="A12" s="45" t="s">
        <v>5</v>
      </c>
      <c r="B12" s="46"/>
      <c r="C12" s="6" t="s">
        <v>107</v>
      </c>
      <c r="D12" s="6" t="s">
        <v>7</v>
      </c>
      <c r="E12" s="26" t="s">
        <v>117</v>
      </c>
    </row>
    <row r="13" spans="1:5" ht="12.75">
      <c r="A13" s="47" t="s">
        <v>8</v>
      </c>
      <c r="B13" s="48"/>
      <c r="C13" s="7">
        <v>0</v>
      </c>
      <c r="D13" s="7">
        <v>0</v>
      </c>
      <c r="E13" s="7">
        <v>0</v>
      </c>
    </row>
    <row r="14" spans="1:5" ht="12.75">
      <c r="A14" s="47" t="s">
        <v>9</v>
      </c>
      <c r="B14" s="48"/>
      <c r="C14" s="6"/>
      <c r="D14" s="6"/>
      <c r="E14" s="8">
        <v>84843</v>
      </c>
    </row>
    <row r="15" spans="1:5" ht="12.75">
      <c r="A15" s="49" t="s">
        <v>125</v>
      </c>
      <c r="B15" s="50"/>
      <c r="C15" s="9">
        <f>C17+C18+C19+C20</f>
        <v>539355.122</v>
      </c>
      <c r="D15" s="9">
        <f>36516.34+24887.15</f>
        <v>61403.49</v>
      </c>
      <c r="E15" s="9">
        <v>57520.8</v>
      </c>
    </row>
    <row r="16" spans="1:5" ht="12.75">
      <c r="A16" s="49" t="s">
        <v>11</v>
      </c>
      <c r="B16" s="50"/>
      <c r="C16" s="10"/>
      <c r="D16" s="10"/>
      <c r="E16" s="9"/>
    </row>
    <row r="17" spans="1:5" ht="12.75">
      <c r="A17" s="51" t="s">
        <v>12</v>
      </c>
      <c r="B17" s="52"/>
      <c r="C17" s="9">
        <f>D35+D41+D42+D48+D49+D50</f>
        <v>166716.206</v>
      </c>
      <c r="D17" s="10"/>
      <c r="E17" s="9"/>
    </row>
    <row r="18" spans="1:5" ht="12.75">
      <c r="A18" s="51" t="s">
        <v>13</v>
      </c>
      <c r="B18" s="52"/>
      <c r="C18" s="9">
        <f>D54+D52</f>
        <v>39114.144</v>
      </c>
      <c r="D18" s="10"/>
      <c r="E18" s="9"/>
    </row>
    <row r="19" spans="1:5" ht="12.75">
      <c r="A19" s="51" t="s">
        <v>14</v>
      </c>
      <c r="B19" s="52"/>
      <c r="C19" s="9">
        <f>D62</f>
        <v>154826.81999999998</v>
      </c>
      <c r="D19" s="10"/>
      <c r="E19" s="9"/>
    </row>
    <row r="20" spans="1:5" ht="12.75">
      <c r="A20" s="51" t="s">
        <v>15</v>
      </c>
      <c r="B20" s="52"/>
      <c r="C20" s="9">
        <f>D66</f>
        <v>178697.952</v>
      </c>
      <c r="D20" s="10"/>
      <c r="E20" s="9"/>
    </row>
    <row r="21" spans="1:5" ht="12.75">
      <c r="A21" s="49" t="s">
        <v>16</v>
      </c>
      <c r="B21" s="50"/>
      <c r="C21" s="9">
        <f>C13+C15-C23</f>
        <v>496022.782</v>
      </c>
      <c r="D21" s="10">
        <f>D13+D15-D23</f>
        <v>53209.07</v>
      </c>
      <c r="E21" s="9">
        <f>E15</f>
        <v>57520.8</v>
      </c>
    </row>
    <row r="22" spans="1:5" ht="12.75">
      <c r="A22" s="49" t="s">
        <v>17</v>
      </c>
      <c r="B22" s="50"/>
      <c r="C22" s="10"/>
      <c r="D22" s="10"/>
      <c r="E22" s="10"/>
    </row>
    <row r="23" spans="1:5" ht="12.75">
      <c r="A23" s="49" t="s">
        <v>18</v>
      </c>
      <c r="B23" s="50"/>
      <c r="C23" s="9">
        <v>43332.34</v>
      </c>
      <c r="D23" s="9">
        <f>4873.12+3321.3</f>
        <v>8194.42</v>
      </c>
      <c r="E23" s="10">
        <v>4793.4</v>
      </c>
    </row>
    <row r="24" spans="1:5" ht="12.75">
      <c r="A24" s="49" t="s">
        <v>83</v>
      </c>
      <c r="B24" s="50"/>
      <c r="C24" s="9">
        <f>D67</f>
        <v>539355.122</v>
      </c>
      <c r="D24" s="9"/>
      <c r="E24" s="9"/>
    </row>
    <row r="25" spans="1:5" ht="12.75">
      <c r="A25" s="49" t="s">
        <v>19</v>
      </c>
      <c r="B25" s="50"/>
      <c r="C25" s="9">
        <v>0</v>
      </c>
      <c r="D25" s="9">
        <v>0</v>
      </c>
      <c r="E25" s="9">
        <v>0</v>
      </c>
    </row>
    <row r="26" spans="1:5" ht="12.75">
      <c r="A26" s="49" t="s">
        <v>20</v>
      </c>
      <c r="B26" s="50"/>
      <c r="C26" s="9">
        <v>0</v>
      </c>
      <c r="D26" s="9">
        <v>0</v>
      </c>
      <c r="E26" s="9">
        <f>E14+E21</f>
        <v>142363.8</v>
      </c>
    </row>
    <row r="27" spans="1:5" ht="31.5" customHeight="1">
      <c r="A27" s="49" t="s">
        <v>99</v>
      </c>
      <c r="B27" s="50"/>
      <c r="C27" s="9">
        <v>0</v>
      </c>
      <c r="D27" s="9">
        <v>0</v>
      </c>
      <c r="E27" s="9">
        <v>0</v>
      </c>
    </row>
    <row r="28" spans="1:5" ht="27.75" customHeight="1">
      <c r="A28" s="49" t="s">
        <v>22</v>
      </c>
      <c r="B28" s="50"/>
      <c r="C28" s="9">
        <v>0</v>
      </c>
      <c r="D28" s="9">
        <v>0</v>
      </c>
      <c r="E28" s="9">
        <v>0</v>
      </c>
    </row>
    <row r="29" spans="1:4" ht="12.75">
      <c r="A29" s="2"/>
      <c r="B29" s="2"/>
      <c r="C29" s="2"/>
      <c r="D29" s="2"/>
    </row>
    <row r="30" spans="1:4" ht="12.75">
      <c r="A30" s="67" t="s">
        <v>23</v>
      </c>
      <c r="B30" s="67"/>
      <c r="C30" s="67"/>
      <c r="D30" s="2"/>
    </row>
    <row r="31" spans="1:4" ht="12.75">
      <c r="A31" s="53" t="s">
        <v>24</v>
      </c>
      <c r="B31" s="53"/>
      <c r="C31" s="53"/>
      <c r="D31" s="53"/>
    </row>
    <row r="32" spans="1:4" ht="12.75">
      <c r="A32" s="2"/>
      <c r="B32" s="2"/>
      <c r="C32" s="2"/>
      <c r="D32" s="2"/>
    </row>
    <row r="33" spans="1:4" ht="12.75">
      <c r="A33" s="68" t="s">
        <v>25</v>
      </c>
      <c r="B33" s="69"/>
      <c r="C33" s="26" t="s">
        <v>26</v>
      </c>
      <c r="D33" s="26" t="s">
        <v>27</v>
      </c>
    </row>
    <row r="34" spans="1:4" ht="12.75">
      <c r="A34" s="65" t="s">
        <v>28</v>
      </c>
      <c r="B34" s="65"/>
      <c r="C34" s="26"/>
      <c r="D34" s="26"/>
    </row>
    <row r="35" spans="1:7" ht="12.75">
      <c r="A35" s="65" t="s">
        <v>29</v>
      </c>
      <c r="B35" s="65"/>
      <c r="C35" s="26"/>
      <c r="D35" s="9">
        <f>9586.8*6.63</f>
        <v>63560.484</v>
      </c>
      <c r="G35" s="2"/>
    </row>
    <row r="36" spans="1:7" ht="12.75">
      <c r="A36" s="49" t="s">
        <v>30</v>
      </c>
      <c r="B36" s="66"/>
      <c r="C36" s="26" t="s">
        <v>31</v>
      </c>
      <c r="D36" s="9"/>
      <c r="G36" s="2"/>
    </row>
    <row r="37" spans="1:7" ht="12.75">
      <c r="A37" s="49" t="s">
        <v>32</v>
      </c>
      <c r="B37" s="50"/>
      <c r="C37" s="26" t="s">
        <v>33</v>
      </c>
      <c r="D37" s="9"/>
      <c r="G37" s="2"/>
    </row>
    <row r="38" spans="1:4" ht="12.75">
      <c r="A38" s="49" t="s">
        <v>34</v>
      </c>
      <c r="B38" s="50"/>
      <c r="C38" s="26" t="s">
        <v>35</v>
      </c>
      <c r="D38" s="9"/>
    </row>
    <row r="39" spans="1:4" ht="12.75">
      <c r="A39" s="49" t="s">
        <v>36</v>
      </c>
      <c r="B39" s="50"/>
      <c r="C39" s="26" t="s">
        <v>37</v>
      </c>
      <c r="D39" s="9"/>
    </row>
    <row r="40" spans="1:4" ht="12.75">
      <c r="A40" s="49" t="s">
        <v>38</v>
      </c>
      <c r="B40" s="50"/>
      <c r="C40" s="26" t="s">
        <v>39</v>
      </c>
      <c r="D40" s="9"/>
    </row>
    <row r="41" spans="1:4" ht="12.75">
      <c r="A41" s="49" t="s">
        <v>40</v>
      </c>
      <c r="B41" s="50"/>
      <c r="C41" s="26" t="s">
        <v>41</v>
      </c>
      <c r="D41" s="9"/>
    </row>
    <row r="42" spans="1:4" ht="30" customHeight="1">
      <c r="A42" s="47" t="s">
        <v>42</v>
      </c>
      <c r="B42" s="48"/>
      <c r="C42" s="26" t="s">
        <v>43</v>
      </c>
      <c r="D42" s="9">
        <f>9586.8*2.2+19367.09</f>
        <v>40458.05</v>
      </c>
    </row>
    <row r="43" spans="1:4" ht="25.5">
      <c r="A43" s="49" t="s">
        <v>44</v>
      </c>
      <c r="B43" s="50"/>
      <c r="C43" s="26" t="s">
        <v>45</v>
      </c>
      <c r="D43" s="9"/>
    </row>
    <row r="44" spans="1:4" ht="25.5">
      <c r="A44" s="49" t="s">
        <v>46</v>
      </c>
      <c r="B44" s="50"/>
      <c r="C44" s="26" t="s">
        <v>45</v>
      </c>
      <c r="D44" s="9"/>
    </row>
    <row r="45" spans="1:4" ht="25.5">
      <c r="A45" s="49" t="s">
        <v>47</v>
      </c>
      <c r="B45" s="50"/>
      <c r="C45" s="26" t="s">
        <v>48</v>
      </c>
      <c r="D45" s="9"/>
    </row>
    <row r="46" spans="1:4" ht="37.5" customHeight="1">
      <c r="A46" s="49" t="s">
        <v>49</v>
      </c>
      <c r="B46" s="50"/>
      <c r="C46" s="26" t="s">
        <v>50</v>
      </c>
      <c r="D46" s="9"/>
    </row>
    <row r="47" spans="1:4" ht="25.5" customHeight="1">
      <c r="A47" s="49" t="s">
        <v>51</v>
      </c>
      <c r="B47" s="50"/>
      <c r="C47" s="26" t="s">
        <v>31</v>
      </c>
      <c r="D47" s="9"/>
    </row>
    <row r="48" spans="1:4" ht="22.5" customHeight="1">
      <c r="A48" s="49" t="s">
        <v>52</v>
      </c>
      <c r="B48" s="50"/>
      <c r="C48" s="26" t="s">
        <v>53</v>
      </c>
      <c r="D48" s="9">
        <f>9586.8*0.06</f>
        <v>575.208</v>
      </c>
    </row>
    <row r="49" spans="1:4" ht="12.75">
      <c r="A49" s="49" t="s">
        <v>54</v>
      </c>
      <c r="B49" s="50"/>
      <c r="C49" s="26" t="s">
        <v>31</v>
      </c>
      <c r="D49" s="9">
        <f>9586.8*4.99</f>
        <v>47838.132</v>
      </c>
    </row>
    <row r="50" spans="1:4" ht="26.25" customHeight="1">
      <c r="A50" s="49" t="s">
        <v>108</v>
      </c>
      <c r="B50" s="50"/>
      <c r="C50" s="26" t="s">
        <v>109</v>
      </c>
      <c r="D50" s="9">
        <f>9586.8*1.49</f>
        <v>14284.331999999999</v>
      </c>
    </row>
    <row r="51" spans="1:4" ht="38.25">
      <c r="A51" s="49" t="s">
        <v>110</v>
      </c>
      <c r="B51" s="50"/>
      <c r="C51" s="26" t="s">
        <v>118</v>
      </c>
      <c r="D51" s="9"/>
    </row>
    <row r="52" spans="1:4" ht="25.5">
      <c r="A52" s="49" t="s">
        <v>119</v>
      </c>
      <c r="B52" s="50"/>
      <c r="C52" s="26" t="s">
        <v>62</v>
      </c>
      <c r="D52" s="9">
        <f>9586.8*0.37</f>
        <v>3547.1159999999995</v>
      </c>
    </row>
    <row r="53" spans="1:4" ht="25.5">
      <c r="A53" s="49" t="s">
        <v>61</v>
      </c>
      <c r="B53" s="50"/>
      <c r="C53" s="26" t="s">
        <v>62</v>
      </c>
      <c r="D53" s="9"/>
    </row>
    <row r="54" spans="1:4" ht="12.75">
      <c r="A54" s="61" t="s">
        <v>120</v>
      </c>
      <c r="B54" s="62"/>
      <c r="C54" s="26"/>
      <c r="D54" s="9">
        <f>9586.8*3.71</f>
        <v>35567.028</v>
      </c>
    </row>
    <row r="55" spans="1:4" ht="12.75">
      <c r="A55" s="49" t="s">
        <v>121</v>
      </c>
      <c r="B55" s="50"/>
      <c r="C55" s="26"/>
      <c r="D55" s="9"/>
    </row>
    <row r="56" spans="1:4" ht="12.75">
      <c r="A56" s="49" t="s">
        <v>122</v>
      </c>
      <c r="B56" s="50"/>
      <c r="C56" s="26"/>
      <c r="D56" s="9"/>
    </row>
    <row r="57" spans="1:4" ht="12.75">
      <c r="A57" s="49" t="s">
        <v>123</v>
      </c>
      <c r="B57" s="50"/>
      <c r="C57" s="26"/>
      <c r="D57" s="9"/>
    </row>
    <row r="58" spans="1:4" ht="27" customHeight="1">
      <c r="A58" s="49" t="s">
        <v>59</v>
      </c>
      <c r="B58" s="50"/>
      <c r="C58" s="26" t="s">
        <v>112</v>
      </c>
      <c r="D58" s="10"/>
    </row>
    <row r="59" spans="1:4" ht="39" customHeight="1">
      <c r="A59" s="49" t="s">
        <v>63</v>
      </c>
      <c r="B59" s="50"/>
      <c r="C59" s="26" t="s">
        <v>35</v>
      </c>
      <c r="D59" s="9"/>
    </row>
    <row r="60" spans="1:4" ht="25.5">
      <c r="A60" s="49" t="s">
        <v>113</v>
      </c>
      <c r="B60" s="50"/>
      <c r="C60" s="26" t="s">
        <v>111</v>
      </c>
      <c r="D60" s="9">
        <v>957.1</v>
      </c>
    </row>
    <row r="61" spans="1:4" ht="21.75" customHeight="1">
      <c r="A61" s="49" t="s">
        <v>64</v>
      </c>
      <c r="B61" s="50"/>
      <c r="C61" s="26" t="s">
        <v>114</v>
      </c>
      <c r="D61" s="9"/>
    </row>
    <row r="62" spans="1:4" ht="12.75">
      <c r="A62" s="61" t="s">
        <v>68</v>
      </c>
      <c r="B62" s="62"/>
      <c r="C62" s="26" t="s">
        <v>69</v>
      </c>
      <c r="D62" s="9">
        <f>9586.8*16.15</f>
        <v>154826.81999999998</v>
      </c>
    </row>
    <row r="63" spans="1:4" ht="12.75">
      <c r="A63" s="49" t="s">
        <v>70</v>
      </c>
      <c r="B63" s="50"/>
      <c r="C63" s="26" t="s">
        <v>69</v>
      </c>
      <c r="D63" s="10"/>
    </row>
    <row r="64" spans="1:4" ht="12.75">
      <c r="A64" s="49" t="s">
        <v>71</v>
      </c>
      <c r="B64" s="50"/>
      <c r="C64" s="26" t="s">
        <v>69</v>
      </c>
      <c r="D64" s="10"/>
    </row>
    <row r="65" spans="1:4" ht="12.75">
      <c r="A65" s="49" t="s">
        <v>72</v>
      </c>
      <c r="B65" s="50"/>
      <c r="C65" s="26" t="s">
        <v>73</v>
      </c>
      <c r="D65" s="10"/>
    </row>
    <row r="66" spans="1:4" ht="39" customHeight="1">
      <c r="A66" s="61" t="s">
        <v>115</v>
      </c>
      <c r="B66" s="62"/>
      <c r="C66" s="26" t="s">
        <v>67</v>
      </c>
      <c r="D66" s="9">
        <f>9586.8*18.64</f>
        <v>178697.952</v>
      </c>
    </row>
    <row r="67" spans="1:4" ht="12.75">
      <c r="A67" s="63" t="s">
        <v>74</v>
      </c>
      <c r="B67" s="64"/>
      <c r="C67" s="19"/>
      <c r="D67" s="21">
        <f>D35+D42+D48+D49+D50+D52+D54+D62+D66</f>
        <v>539355.122</v>
      </c>
    </row>
    <row r="68" spans="1:4" ht="12.75">
      <c r="A68" s="26" t="s">
        <v>165</v>
      </c>
      <c r="B68" s="26"/>
      <c r="C68" s="26" t="s">
        <v>162</v>
      </c>
      <c r="D68" s="10">
        <v>7065.75</v>
      </c>
    </row>
    <row r="69" spans="1:4" ht="12.75">
      <c r="A69" s="26" t="s">
        <v>166</v>
      </c>
      <c r="B69" s="26"/>
      <c r="C69" s="26" t="s">
        <v>162</v>
      </c>
      <c r="D69" s="10">
        <v>450</v>
      </c>
    </row>
    <row r="70" spans="1:4" ht="12.75">
      <c r="A70" s="2"/>
      <c r="B70" s="2"/>
      <c r="C70" s="2"/>
      <c r="D70" s="2"/>
    </row>
    <row r="71" spans="1:4" ht="12.75">
      <c r="A71" s="2"/>
      <c r="B71" s="2"/>
      <c r="C71" s="2"/>
      <c r="D71" s="2"/>
    </row>
    <row r="72" spans="1:4" ht="12.75">
      <c r="A72" s="22" t="s">
        <v>76</v>
      </c>
      <c r="B72" s="22"/>
      <c r="C72" s="22"/>
      <c r="D72" s="2"/>
    </row>
    <row r="73" spans="1:4" ht="12.75">
      <c r="A73" s="22" t="s">
        <v>77</v>
      </c>
      <c r="B73" s="22"/>
      <c r="C73" s="22"/>
      <c r="D73" s="2"/>
    </row>
    <row r="74" spans="1:4" ht="12.75">
      <c r="A74" s="22" t="s">
        <v>129</v>
      </c>
      <c r="B74" s="22"/>
      <c r="C74" s="22"/>
      <c r="D74" s="2"/>
    </row>
    <row r="75" spans="1:4" ht="12.75">
      <c r="A75" s="22" t="s">
        <v>126</v>
      </c>
      <c r="B75" s="22"/>
      <c r="C75" s="22"/>
      <c r="D75" s="2"/>
    </row>
    <row r="76" spans="1:4" ht="12.75">
      <c r="A76" s="22" t="s">
        <v>84</v>
      </c>
      <c r="B76" s="1"/>
      <c r="C76" s="1"/>
      <c r="D76" s="2"/>
    </row>
    <row r="77" spans="1:4" ht="12.75">
      <c r="A77" s="22" t="s">
        <v>85</v>
      </c>
      <c r="B77" s="1"/>
      <c r="C77" s="1"/>
      <c r="D77" s="2"/>
    </row>
    <row r="78" spans="1:4" ht="12.75">
      <c r="A78" s="22" t="s">
        <v>86</v>
      </c>
      <c r="B78" s="1"/>
      <c r="C78" s="1"/>
      <c r="D78" s="2"/>
    </row>
    <row r="79" spans="1:4" ht="12.75">
      <c r="A79" s="1"/>
      <c r="B79" s="1"/>
      <c r="C79" s="1"/>
      <c r="D79" s="2"/>
    </row>
    <row r="80" spans="1:4" ht="12.75">
      <c r="A80" s="22"/>
      <c r="B80" s="1"/>
      <c r="C80" s="1"/>
      <c r="D80" s="2"/>
    </row>
    <row r="81" spans="1:4" ht="12.75">
      <c r="A81" s="22" t="s">
        <v>116</v>
      </c>
      <c r="B81" s="22"/>
      <c r="C81" s="1"/>
      <c r="D81" s="2"/>
    </row>
  </sheetData>
  <mergeCells count="54"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30:C30"/>
    <mergeCell ref="A31:D31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6:B66"/>
    <mergeCell ref="A67:B67"/>
    <mergeCell ref="A62:B62"/>
    <mergeCell ref="A63:B63"/>
    <mergeCell ref="A64:B64"/>
    <mergeCell ref="A65:B65"/>
  </mergeCells>
  <printOptions/>
  <pageMargins left="0.75" right="0.75" top="1" bottom="1" header="0.5" footer="0.5"/>
  <pageSetup horizontalDpi="600" verticalDpi="600" orientation="portrait" paperSize="9" scale="90" r:id="rId1"/>
  <colBreaks count="1" manualBreakCount="1">
    <brk id="5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5:G85"/>
  <sheetViews>
    <sheetView workbookViewId="0" topLeftCell="A16">
      <selection activeCell="A52" sqref="A52:B52"/>
    </sheetView>
  </sheetViews>
  <sheetFormatPr defaultColWidth="9.140625" defaultRowHeight="12.75"/>
  <cols>
    <col min="1" max="1" width="47.421875" style="0" customWidth="1"/>
    <col min="2" max="2" width="13.421875" style="0" customWidth="1"/>
    <col min="3" max="4" width="15.28125" style="0" customWidth="1"/>
  </cols>
  <sheetData>
    <row r="5" spans="1:3" ht="12.75">
      <c r="A5" s="24" t="s">
        <v>0</v>
      </c>
      <c r="B5" s="4"/>
      <c r="C5" s="4"/>
    </row>
    <row r="6" spans="1:3" ht="12.75">
      <c r="A6" s="24" t="s">
        <v>106</v>
      </c>
      <c r="B6" s="4"/>
      <c r="C6" s="4"/>
    </row>
    <row r="7" spans="1:3" ht="12.75">
      <c r="A7" s="24" t="s">
        <v>124</v>
      </c>
      <c r="B7" s="4"/>
      <c r="C7" s="4"/>
    </row>
    <row r="8" spans="1:3" ht="12.75">
      <c r="A8" s="3"/>
      <c r="B8" s="4"/>
      <c r="C8" s="4"/>
    </row>
    <row r="9" ht="12.75">
      <c r="A9" s="5" t="s">
        <v>153</v>
      </c>
    </row>
    <row r="11" ht="12.75">
      <c r="A11" t="s">
        <v>154</v>
      </c>
    </row>
    <row r="12" spans="1:4" ht="38.25">
      <c r="A12" s="45" t="s">
        <v>5</v>
      </c>
      <c r="B12" s="46"/>
      <c r="C12" s="6" t="s">
        <v>107</v>
      </c>
      <c r="D12" s="6" t="s">
        <v>7</v>
      </c>
    </row>
    <row r="13" spans="1:4" ht="12.75">
      <c r="A13" s="47" t="s">
        <v>8</v>
      </c>
      <c r="B13" s="48"/>
      <c r="C13" s="7">
        <v>0</v>
      </c>
      <c r="D13" s="7">
        <v>0</v>
      </c>
    </row>
    <row r="14" spans="1:4" ht="12.75">
      <c r="A14" s="47" t="s">
        <v>147</v>
      </c>
      <c r="B14" s="48"/>
      <c r="C14" s="6"/>
      <c r="D14" s="6"/>
    </row>
    <row r="15" spans="1:4" ht="12.75">
      <c r="A15" s="49" t="s">
        <v>125</v>
      </c>
      <c r="B15" s="50"/>
      <c r="C15" s="9">
        <f>C17+C18+C19+C20</f>
        <v>529498.334</v>
      </c>
      <c r="D15" s="10">
        <f>31034.08+21150.8</f>
        <v>52184.880000000005</v>
      </c>
    </row>
    <row r="16" spans="1:4" ht="12.75">
      <c r="A16" s="49" t="s">
        <v>11</v>
      </c>
      <c r="B16" s="50"/>
      <c r="C16" s="10"/>
      <c r="D16" s="10"/>
    </row>
    <row r="17" spans="1:4" ht="12.75">
      <c r="A17" s="51" t="s">
        <v>12</v>
      </c>
      <c r="B17" s="52"/>
      <c r="C17" s="9">
        <f>D35+D42+D49+D50+D51</f>
        <v>163669.44199999998</v>
      </c>
      <c r="D17" s="10"/>
    </row>
    <row r="18" spans="1:4" ht="12.75">
      <c r="A18" s="51" t="s">
        <v>13</v>
      </c>
      <c r="B18" s="52"/>
      <c r="C18" s="9">
        <f>D54+D56</f>
        <v>38399.328</v>
      </c>
      <c r="D18" s="10"/>
    </row>
    <row r="19" spans="1:4" ht="12.75">
      <c r="A19" s="51" t="s">
        <v>14</v>
      </c>
      <c r="B19" s="52"/>
      <c r="C19" s="9">
        <f>D63</f>
        <v>151997.34</v>
      </c>
      <c r="D19" s="10"/>
    </row>
    <row r="20" spans="1:4" ht="12.75">
      <c r="A20" s="51" t="s">
        <v>15</v>
      </c>
      <c r="B20" s="52"/>
      <c r="C20" s="9">
        <f>D67</f>
        <v>175432.22400000002</v>
      </c>
      <c r="D20" s="10"/>
    </row>
    <row r="21" spans="1:4" ht="12.75">
      <c r="A21" s="49" t="s">
        <v>16</v>
      </c>
      <c r="B21" s="50"/>
      <c r="C21" s="9">
        <f>C13+C15-C23</f>
        <v>486957.90400000004</v>
      </c>
      <c r="D21" s="10">
        <f>D13+D15-D23</f>
        <v>48734.64000000001</v>
      </c>
    </row>
    <row r="22" spans="1:4" ht="12.75">
      <c r="A22" s="49" t="s">
        <v>17</v>
      </c>
      <c r="B22" s="50"/>
      <c r="C22" s="10"/>
      <c r="D22" s="10"/>
    </row>
    <row r="23" spans="1:4" ht="12.75">
      <c r="A23" s="49" t="s">
        <v>18</v>
      </c>
      <c r="B23" s="50"/>
      <c r="C23" s="10">
        <v>42540.43</v>
      </c>
      <c r="D23" s="10">
        <f>2051.84+1398.4</f>
        <v>3450.2400000000002</v>
      </c>
    </row>
    <row r="24" spans="1:4" ht="12.75">
      <c r="A24" s="49" t="s">
        <v>83</v>
      </c>
      <c r="B24" s="50"/>
      <c r="C24" s="9" t="e">
        <f>D68+D69+#REF!</f>
        <v>#REF!</v>
      </c>
      <c r="D24" s="10">
        <v>0</v>
      </c>
    </row>
    <row r="25" spans="1:4" ht="12.75">
      <c r="A25" s="49" t="s">
        <v>19</v>
      </c>
      <c r="B25" s="50"/>
      <c r="C25" s="9"/>
      <c r="D25" s="10">
        <v>0</v>
      </c>
    </row>
    <row r="26" spans="1:4" ht="12.75">
      <c r="A26" s="49" t="s">
        <v>20</v>
      </c>
      <c r="B26" s="50"/>
      <c r="C26" s="26"/>
      <c r="D26" s="10">
        <v>0</v>
      </c>
    </row>
    <row r="27" spans="1:4" ht="29.25" customHeight="1">
      <c r="A27" s="49" t="s">
        <v>99</v>
      </c>
      <c r="B27" s="50"/>
      <c r="C27" s="26"/>
      <c r="D27" s="10">
        <v>0</v>
      </c>
    </row>
    <row r="28" spans="1:4" ht="26.25" customHeight="1">
      <c r="A28" s="49" t="s">
        <v>22</v>
      </c>
      <c r="B28" s="50"/>
      <c r="C28" s="26"/>
      <c r="D28" s="10">
        <v>0</v>
      </c>
    </row>
    <row r="29" spans="1:4" ht="12.75">
      <c r="A29" s="67" t="s">
        <v>23</v>
      </c>
      <c r="B29" s="67"/>
      <c r="C29" s="67"/>
      <c r="D29" s="2"/>
    </row>
    <row r="30" spans="1:4" ht="12.75">
      <c r="A30" s="53" t="s">
        <v>24</v>
      </c>
      <c r="B30" s="53"/>
      <c r="C30" s="53"/>
      <c r="D30" s="2"/>
    </row>
    <row r="31" spans="1:4" ht="12.75">
      <c r="A31" s="2"/>
      <c r="B31" s="2"/>
      <c r="C31" s="2"/>
      <c r="D31" s="2"/>
    </row>
    <row r="32" spans="1:4" ht="25.5">
      <c r="A32" s="68" t="s">
        <v>25</v>
      </c>
      <c r="B32" s="69"/>
      <c r="C32" s="26" t="s">
        <v>138</v>
      </c>
      <c r="D32" s="26" t="s">
        <v>27</v>
      </c>
    </row>
    <row r="33" spans="1:4" ht="12.75">
      <c r="A33" s="27"/>
      <c r="B33" s="28"/>
      <c r="C33" s="28"/>
      <c r="D33" s="29"/>
    </row>
    <row r="34" spans="1:4" ht="12.75">
      <c r="A34" s="30" t="s">
        <v>28</v>
      </c>
      <c r="B34" s="31"/>
      <c r="C34" s="32"/>
      <c r="D34" s="33"/>
    </row>
    <row r="35" spans="1:7" ht="12.75">
      <c r="A35" s="79" t="s">
        <v>139</v>
      </c>
      <c r="B35" s="80"/>
      <c r="C35" s="32"/>
      <c r="D35" s="35">
        <f>9411.6*6.63</f>
        <v>62398.908</v>
      </c>
      <c r="G35" s="2"/>
    </row>
    <row r="36" spans="1:7" ht="27.75" customHeight="1">
      <c r="A36" s="49" t="s">
        <v>30</v>
      </c>
      <c r="B36" s="50"/>
      <c r="C36" s="26" t="s">
        <v>31</v>
      </c>
      <c r="D36" s="9"/>
      <c r="G36" s="2"/>
    </row>
    <row r="37" spans="1:7" ht="12.75">
      <c r="A37" s="49" t="s">
        <v>32</v>
      </c>
      <c r="B37" s="50"/>
      <c r="C37" s="26" t="s">
        <v>33</v>
      </c>
      <c r="D37" s="9"/>
      <c r="G37" s="2"/>
    </row>
    <row r="38" spans="1:4" ht="12.75">
      <c r="A38" s="68" t="s">
        <v>140</v>
      </c>
      <c r="B38" s="69"/>
      <c r="C38" s="26" t="s">
        <v>35</v>
      </c>
      <c r="D38" s="9"/>
    </row>
    <row r="39" spans="1:4" ht="12.75">
      <c r="A39" s="49" t="s">
        <v>36</v>
      </c>
      <c r="B39" s="50"/>
      <c r="C39" s="26" t="s">
        <v>37</v>
      </c>
      <c r="D39" s="9"/>
    </row>
    <row r="40" spans="1:4" ht="12.75">
      <c r="A40" s="49" t="s">
        <v>38</v>
      </c>
      <c r="B40" s="50"/>
      <c r="C40" s="26" t="s">
        <v>39</v>
      </c>
      <c r="D40" s="9"/>
    </row>
    <row r="41" spans="1:4" ht="12.75">
      <c r="A41" s="49" t="s">
        <v>40</v>
      </c>
      <c r="B41" s="50"/>
      <c r="C41" s="26" t="s">
        <v>41</v>
      </c>
      <c r="D41" s="9"/>
    </row>
    <row r="42" spans="1:4" ht="12.75">
      <c r="A42" s="75" t="s">
        <v>42</v>
      </c>
      <c r="B42" s="76"/>
      <c r="C42" s="73" t="s">
        <v>141</v>
      </c>
      <c r="D42" s="9">
        <f>9411.6*2.2+19013.15</f>
        <v>39718.670000000006</v>
      </c>
    </row>
    <row r="43" spans="1:4" ht="12.75">
      <c r="A43" s="77"/>
      <c r="B43" s="78"/>
      <c r="C43" s="74"/>
      <c r="D43" s="9"/>
    </row>
    <row r="44" spans="1:4" ht="25.5">
      <c r="A44" s="49" t="s">
        <v>44</v>
      </c>
      <c r="B44" s="50"/>
      <c r="C44" s="26" t="s">
        <v>45</v>
      </c>
      <c r="D44" s="9"/>
    </row>
    <row r="45" spans="1:4" ht="25.5">
      <c r="A45" s="49" t="s">
        <v>46</v>
      </c>
      <c r="B45" s="50"/>
      <c r="C45" s="26" t="s">
        <v>45</v>
      </c>
      <c r="D45" s="9"/>
    </row>
    <row r="46" spans="1:4" ht="25.5">
      <c r="A46" s="49" t="s">
        <v>47</v>
      </c>
      <c r="B46" s="50"/>
      <c r="C46" s="26" t="s">
        <v>48</v>
      </c>
      <c r="D46" s="10"/>
    </row>
    <row r="47" spans="1:4" ht="26.25" customHeight="1">
      <c r="A47" s="49" t="s">
        <v>49</v>
      </c>
      <c r="B47" s="50"/>
      <c r="C47" s="26" t="s">
        <v>174</v>
      </c>
      <c r="D47" s="9"/>
    </row>
    <row r="48" spans="1:4" ht="19.5" customHeight="1">
      <c r="A48" s="49" t="s">
        <v>51</v>
      </c>
      <c r="B48" s="50"/>
      <c r="C48" s="26" t="s">
        <v>31</v>
      </c>
      <c r="D48" s="9"/>
    </row>
    <row r="49" spans="1:4" ht="27.75" customHeight="1">
      <c r="A49" s="49" t="s">
        <v>52</v>
      </c>
      <c r="B49" s="50"/>
      <c r="C49" s="26" t="s">
        <v>143</v>
      </c>
      <c r="D49" s="9">
        <f>9411.6*0.06</f>
        <v>564.696</v>
      </c>
    </row>
    <row r="50" spans="1:4" ht="12.75">
      <c r="A50" s="49" t="s">
        <v>54</v>
      </c>
      <c r="B50" s="50"/>
      <c r="C50" s="26" t="s">
        <v>31</v>
      </c>
      <c r="D50" s="9">
        <f>9411.6*4.99</f>
        <v>46963.884000000005</v>
      </c>
    </row>
    <row r="51" spans="1:4" ht="23.25" customHeight="1">
      <c r="A51" s="49" t="s">
        <v>108</v>
      </c>
      <c r="B51" s="50"/>
      <c r="C51" s="26" t="s">
        <v>109</v>
      </c>
      <c r="D51" s="9">
        <f>9411.6*1.49</f>
        <v>14023.284</v>
      </c>
    </row>
    <row r="52" spans="1:4" ht="38.25">
      <c r="A52" s="49" t="s">
        <v>110</v>
      </c>
      <c r="B52" s="50"/>
      <c r="C52" s="26" t="s">
        <v>144</v>
      </c>
      <c r="D52" s="9"/>
    </row>
    <row r="53" spans="1:4" ht="12.75">
      <c r="A53" s="49" t="s">
        <v>148</v>
      </c>
      <c r="B53" s="50"/>
      <c r="C53" s="26"/>
      <c r="D53" s="9"/>
    </row>
    <row r="54" spans="1:4" ht="23.25" customHeight="1">
      <c r="A54" s="49" t="s">
        <v>145</v>
      </c>
      <c r="B54" s="50"/>
      <c r="C54" s="26" t="s">
        <v>41</v>
      </c>
      <c r="D54" s="9">
        <f>9411.6*0.37</f>
        <v>3482.292</v>
      </c>
    </row>
    <row r="55" spans="1:4" ht="38.25">
      <c r="A55" s="49" t="s">
        <v>61</v>
      </c>
      <c r="B55" s="50"/>
      <c r="C55" s="26" t="s">
        <v>62</v>
      </c>
      <c r="D55" s="9"/>
    </row>
    <row r="56" spans="1:4" ht="12.75">
      <c r="A56" s="61" t="s">
        <v>120</v>
      </c>
      <c r="B56" s="62"/>
      <c r="C56" s="26"/>
      <c r="D56" s="9">
        <f>9411.6*3.71</f>
        <v>34917.036</v>
      </c>
    </row>
    <row r="57" spans="1:4" ht="12.75">
      <c r="A57" s="49" t="s">
        <v>121</v>
      </c>
      <c r="B57" s="50"/>
      <c r="C57" s="26"/>
      <c r="D57" s="9"/>
    </row>
    <row r="58" spans="1:4" ht="12.75">
      <c r="A58" s="49" t="s">
        <v>122</v>
      </c>
      <c r="B58" s="50"/>
      <c r="C58" s="26"/>
      <c r="D58" s="9"/>
    </row>
    <row r="59" spans="1:4" ht="12.75">
      <c r="A59" s="49" t="s">
        <v>123</v>
      </c>
      <c r="B59" s="50"/>
      <c r="C59" s="26"/>
      <c r="D59" s="9"/>
    </row>
    <row r="60" spans="1:4" ht="27" customHeight="1">
      <c r="A60" s="49" t="s">
        <v>146</v>
      </c>
      <c r="B60" s="50"/>
      <c r="C60" s="26"/>
      <c r="D60" s="10"/>
    </row>
    <row r="61" spans="1:4" ht="27" customHeight="1">
      <c r="A61" s="49" t="s">
        <v>63</v>
      </c>
      <c r="B61" s="50"/>
      <c r="C61" s="26" t="s">
        <v>35</v>
      </c>
      <c r="D61" s="9"/>
    </row>
    <row r="62" spans="1:4" ht="29.25" customHeight="1">
      <c r="A62" s="49" t="s">
        <v>64</v>
      </c>
      <c r="B62" s="50"/>
      <c r="C62" s="26"/>
      <c r="D62" s="10"/>
    </row>
    <row r="63" spans="1:4" ht="12.75">
      <c r="A63" s="61" t="s">
        <v>68</v>
      </c>
      <c r="B63" s="62"/>
      <c r="C63" s="26" t="s">
        <v>69</v>
      </c>
      <c r="D63" s="9">
        <f>9411.6*16.15</f>
        <v>151997.34</v>
      </c>
    </row>
    <row r="64" spans="1:4" ht="12.75">
      <c r="A64" s="49" t="s">
        <v>70</v>
      </c>
      <c r="B64" s="50"/>
      <c r="C64" s="26" t="s">
        <v>69</v>
      </c>
      <c r="D64" s="10"/>
    </row>
    <row r="65" spans="1:4" ht="12.75">
      <c r="A65" s="49" t="s">
        <v>71</v>
      </c>
      <c r="B65" s="50"/>
      <c r="C65" s="26" t="s">
        <v>69</v>
      </c>
      <c r="D65" s="10"/>
    </row>
    <row r="66" spans="1:4" ht="12.75">
      <c r="A66" s="49" t="s">
        <v>72</v>
      </c>
      <c r="B66" s="50"/>
      <c r="C66" s="26" t="s">
        <v>73</v>
      </c>
      <c r="D66" s="10"/>
    </row>
    <row r="67" spans="1:4" ht="39" customHeight="1">
      <c r="A67" s="61" t="s">
        <v>115</v>
      </c>
      <c r="B67" s="62"/>
      <c r="C67" s="26" t="s">
        <v>67</v>
      </c>
      <c r="D67" s="9">
        <f>9411.6*18.64</f>
        <v>175432.22400000002</v>
      </c>
    </row>
    <row r="68" spans="1:4" ht="12.75">
      <c r="A68" s="63" t="s">
        <v>74</v>
      </c>
      <c r="B68" s="64"/>
      <c r="C68" s="19"/>
      <c r="D68" s="21">
        <f>D35+D42+D49+D50+D51+D54+D56+D62+D63+D55+D67</f>
        <v>529498.334</v>
      </c>
    </row>
    <row r="69" spans="1:4" ht="12.75">
      <c r="A69" s="49" t="s">
        <v>167</v>
      </c>
      <c r="B69" s="50"/>
      <c r="C69" s="26" t="s">
        <v>168</v>
      </c>
      <c r="D69" s="10">
        <f>957.1+900</f>
        <v>1857.1</v>
      </c>
    </row>
    <row r="70" spans="1:4" ht="12.75">
      <c r="A70" s="72"/>
      <c r="B70" s="72"/>
      <c r="C70" s="2"/>
      <c r="D70" s="2"/>
    </row>
    <row r="71" spans="1:4" ht="12.75">
      <c r="A71" s="22" t="s">
        <v>76</v>
      </c>
      <c r="B71" s="22"/>
      <c r="C71" s="22"/>
      <c r="D71" s="2"/>
    </row>
    <row r="72" spans="1:4" ht="12.75">
      <c r="A72" s="22" t="s">
        <v>77</v>
      </c>
      <c r="B72" s="22"/>
      <c r="C72" s="22"/>
      <c r="D72" s="2"/>
    </row>
    <row r="73" spans="1:4" ht="12.75">
      <c r="A73" s="22" t="s">
        <v>129</v>
      </c>
      <c r="B73" s="22"/>
      <c r="C73" s="22"/>
      <c r="D73" s="2"/>
    </row>
    <row r="74" spans="1:4" ht="12.75">
      <c r="A74" s="22" t="s">
        <v>126</v>
      </c>
      <c r="B74" s="22"/>
      <c r="C74" s="22"/>
      <c r="D74" s="2"/>
    </row>
    <row r="75" spans="1:4" ht="12.75">
      <c r="A75" s="22" t="s">
        <v>84</v>
      </c>
      <c r="B75" s="1"/>
      <c r="C75" s="1"/>
      <c r="D75" s="2"/>
    </row>
    <row r="76" spans="1:4" ht="12.75">
      <c r="A76" s="22" t="s">
        <v>85</v>
      </c>
      <c r="B76" s="1"/>
      <c r="C76" s="1"/>
      <c r="D76" s="2"/>
    </row>
    <row r="77" spans="1:4" ht="12.75">
      <c r="A77" s="22" t="s">
        <v>86</v>
      </c>
      <c r="B77" s="1"/>
      <c r="C77" s="1"/>
      <c r="D77" s="2"/>
    </row>
    <row r="78" spans="1:4" ht="12.75">
      <c r="A78" s="1"/>
      <c r="B78" s="1"/>
      <c r="C78" s="1"/>
      <c r="D78" s="2"/>
    </row>
    <row r="79" spans="1:4" ht="12.75">
      <c r="A79" s="22"/>
      <c r="B79" s="1"/>
      <c r="C79" s="1"/>
      <c r="D79" s="2"/>
    </row>
    <row r="80" spans="1:4" ht="12.75">
      <c r="A80" s="22" t="s">
        <v>116</v>
      </c>
      <c r="B80" s="22"/>
      <c r="C80" s="1"/>
      <c r="D80" s="2"/>
    </row>
    <row r="85" ht="12.75">
      <c r="A85" s="22"/>
    </row>
  </sheetData>
  <mergeCells count="56"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C29"/>
    <mergeCell ref="A30:C30"/>
    <mergeCell ref="A32:B32"/>
    <mergeCell ref="A35:B35"/>
    <mergeCell ref="A36:B36"/>
    <mergeCell ref="A37:B37"/>
    <mergeCell ref="A38:B38"/>
    <mergeCell ref="A39:B39"/>
    <mergeCell ref="A40:B40"/>
    <mergeCell ref="A41:B41"/>
    <mergeCell ref="A42:B43"/>
    <mergeCell ref="C42:C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70:B70"/>
    <mergeCell ref="A67:B67"/>
    <mergeCell ref="A68:B68"/>
    <mergeCell ref="A69:B69"/>
  </mergeCells>
  <printOptions/>
  <pageMargins left="0.75" right="0.75" top="1" bottom="1" header="0.5" footer="0.5"/>
  <pageSetup horizontalDpi="600" verticalDpi="600" orientation="portrait" paperSize="9" scale="95" r:id="rId1"/>
  <colBreaks count="1" manualBreakCount="1">
    <brk id="4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M72"/>
  <sheetViews>
    <sheetView workbookViewId="0" topLeftCell="A17">
      <selection activeCell="A5" sqref="A5"/>
    </sheetView>
  </sheetViews>
  <sheetFormatPr defaultColWidth="9.140625" defaultRowHeight="12.75"/>
  <cols>
    <col min="1" max="1" width="50.140625" style="0" customWidth="1"/>
    <col min="2" max="2" width="1.28515625" style="0" customWidth="1"/>
    <col min="3" max="3" width="16.28125" style="0" customWidth="1"/>
    <col min="4" max="4" width="15.421875" style="0" customWidth="1"/>
    <col min="5" max="5" width="9.8515625" style="0" customWidth="1"/>
    <col min="6" max="6" width="14.28125" style="0" customWidth="1"/>
    <col min="7" max="7" width="15.00390625" style="0" customWidth="1"/>
    <col min="8" max="8" width="9.421875" style="0" customWidth="1"/>
  </cols>
  <sheetData>
    <row r="1" ht="12.75">
      <c r="M1" s="4"/>
    </row>
    <row r="2" ht="12.75">
      <c r="M2" s="4"/>
    </row>
    <row r="5" spans="1:4" ht="12.75">
      <c r="A5" s="44" t="s">
        <v>0</v>
      </c>
      <c r="B5" s="44"/>
      <c r="C5" s="44"/>
      <c r="D5" s="1"/>
    </row>
    <row r="6" spans="1:4" ht="12.75">
      <c r="A6" s="44" t="s">
        <v>1</v>
      </c>
      <c r="B6" s="44"/>
      <c r="C6" s="44"/>
      <c r="D6" s="1"/>
    </row>
    <row r="7" spans="1:4" ht="12.75">
      <c r="A7" s="44" t="s">
        <v>2</v>
      </c>
      <c r="B7" s="44"/>
      <c r="C7" s="44"/>
      <c r="D7" s="2"/>
    </row>
    <row r="8" spans="1:4" ht="12.75">
      <c r="A8" s="3"/>
      <c r="B8" s="4"/>
      <c r="C8" s="4"/>
      <c r="D8" s="2"/>
    </row>
    <row r="9" spans="1:4" ht="12.75">
      <c r="A9" s="5" t="s">
        <v>3</v>
      </c>
      <c r="D9" s="2"/>
    </row>
    <row r="10" ht="12.75">
      <c r="D10" s="2"/>
    </row>
    <row r="11" spans="1:4" ht="12.75">
      <c r="A11" t="s">
        <v>4</v>
      </c>
      <c r="D11" s="2"/>
    </row>
    <row r="12" spans="1:13" ht="51">
      <c r="A12" s="45" t="s">
        <v>5</v>
      </c>
      <c r="B12" s="46"/>
      <c r="C12" s="6" t="s">
        <v>6</v>
      </c>
      <c r="D12" s="6" t="s">
        <v>7</v>
      </c>
      <c r="H12" s="87"/>
      <c r="I12" s="87"/>
      <c r="J12" s="87"/>
      <c r="K12" s="87"/>
      <c r="L12" s="87"/>
      <c r="M12" s="87"/>
    </row>
    <row r="13" spans="1:13" ht="12.75">
      <c r="A13" s="47" t="s">
        <v>8</v>
      </c>
      <c r="B13" s="48"/>
      <c r="C13" s="7">
        <v>0</v>
      </c>
      <c r="D13" s="8">
        <v>0</v>
      </c>
      <c r="H13" s="87"/>
      <c r="I13" s="87"/>
      <c r="J13" s="87"/>
      <c r="K13" s="89"/>
      <c r="L13" s="87"/>
      <c r="M13" s="90"/>
    </row>
    <row r="14" spans="1:13" ht="12.75">
      <c r="A14" s="47" t="s">
        <v>9</v>
      </c>
      <c r="B14" s="48"/>
      <c r="C14" s="8"/>
      <c r="D14" s="6"/>
      <c r="H14" s="87"/>
      <c r="I14" s="87"/>
      <c r="J14" s="87"/>
      <c r="K14" s="89"/>
      <c r="L14" s="87"/>
      <c r="M14" s="90"/>
    </row>
    <row r="15" spans="1:13" ht="12.75">
      <c r="A15" s="49" t="s">
        <v>10</v>
      </c>
      <c r="B15" s="50"/>
      <c r="C15" s="9">
        <f>C17+C18+C19+C20</f>
        <v>434508.64800000004</v>
      </c>
      <c r="D15" s="10">
        <f>13016.36+8871.1</f>
        <v>21887.46</v>
      </c>
      <c r="H15" s="87"/>
      <c r="I15" s="87"/>
      <c r="J15" s="87"/>
      <c r="K15" s="89"/>
      <c r="L15" s="87"/>
      <c r="M15" s="90"/>
    </row>
    <row r="16" spans="1:13" ht="12.75">
      <c r="A16" s="49" t="s">
        <v>11</v>
      </c>
      <c r="B16" s="50"/>
      <c r="C16" s="9"/>
      <c r="D16" s="10"/>
      <c r="H16" s="87"/>
      <c r="I16" s="87"/>
      <c r="J16" s="87"/>
      <c r="K16" s="89"/>
      <c r="L16" s="87"/>
      <c r="M16" s="90"/>
    </row>
    <row r="17" spans="1:13" ht="12.75">
      <c r="A17" s="51" t="s">
        <v>12</v>
      </c>
      <c r="B17" s="52"/>
      <c r="C17" s="9">
        <f>D35+D42+D48+D49</f>
        <v>131836.44</v>
      </c>
      <c r="D17" s="10"/>
      <c r="H17" s="87"/>
      <c r="I17" s="87"/>
      <c r="J17" s="87"/>
      <c r="K17" s="89"/>
      <c r="L17" s="87"/>
      <c r="M17" s="90"/>
    </row>
    <row r="18" spans="1:13" ht="12.75">
      <c r="A18" s="51" t="s">
        <v>13</v>
      </c>
      <c r="B18" s="52"/>
      <c r="C18" s="9">
        <f>D51+D53</f>
        <v>33982.08</v>
      </c>
      <c r="D18" s="10"/>
      <c r="H18" s="87"/>
      <c r="I18" s="87"/>
      <c r="J18" s="87"/>
      <c r="K18" s="89"/>
      <c r="L18" s="87"/>
      <c r="M18" s="90"/>
    </row>
    <row r="19" spans="1:13" ht="12.75">
      <c r="A19" s="51" t="s">
        <v>14</v>
      </c>
      <c r="B19" s="52"/>
      <c r="C19" s="9">
        <f>D57</f>
        <v>124729.68</v>
      </c>
      <c r="D19" s="10"/>
      <c r="H19" s="87"/>
      <c r="I19" s="87"/>
      <c r="J19" s="87"/>
      <c r="K19" s="89"/>
      <c r="L19" s="87"/>
      <c r="M19" s="90"/>
    </row>
    <row r="20" spans="1:13" ht="12.75">
      <c r="A20" s="51" t="s">
        <v>15</v>
      </c>
      <c r="B20" s="52"/>
      <c r="C20" s="9">
        <f>D61</f>
        <v>143960.448</v>
      </c>
      <c r="D20" s="10"/>
      <c r="H20" s="87"/>
      <c r="I20" s="87"/>
      <c r="J20" s="87"/>
      <c r="K20" s="89"/>
      <c r="L20" s="87"/>
      <c r="M20" s="90"/>
    </row>
    <row r="21" spans="1:13" ht="12.75">
      <c r="A21" s="49" t="s">
        <v>16</v>
      </c>
      <c r="B21" s="50"/>
      <c r="C21" s="9">
        <f>C13+C15-C23</f>
        <v>399599.78800000006</v>
      </c>
      <c r="D21" s="10">
        <f>D13+D15-D23</f>
        <v>21671.82</v>
      </c>
      <c r="H21" s="87"/>
      <c r="I21" s="87"/>
      <c r="J21" s="87"/>
      <c r="K21" s="89"/>
      <c r="L21" s="87"/>
      <c r="M21" s="90"/>
    </row>
    <row r="22" spans="1:13" ht="12.75">
      <c r="A22" s="49" t="s">
        <v>17</v>
      </c>
      <c r="B22" s="50"/>
      <c r="C22" s="10">
        <v>0</v>
      </c>
      <c r="D22" s="10"/>
      <c r="H22" s="87"/>
      <c r="I22" s="87"/>
      <c r="J22" s="87"/>
      <c r="K22" s="89"/>
      <c r="L22" s="87"/>
      <c r="M22" s="90"/>
    </row>
    <row r="23" spans="1:13" ht="12.75">
      <c r="A23" s="49" t="s">
        <v>18</v>
      </c>
      <c r="B23" s="50"/>
      <c r="C23" s="10">
        <v>34908.86</v>
      </c>
      <c r="D23" s="10">
        <f>128.24+87.4</f>
        <v>215.64000000000001</v>
      </c>
      <c r="H23" s="87"/>
      <c r="I23" s="87"/>
      <c r="J23" s="91"/>
      <c r="K23" s="92"/>
      <c r="L23" s="91"/>
      <c r="M23" s="92"/>
    </row>
    <row r="24" spans="1:13" ht="12.75">
      <c r="A24" s="49" t="s">
        <v>98</v>
      </c>
      <c r="B24" s="50"/>
      <c r="C24" s="9">
        <f>C15</f>
        <v>434508.64800000004</v>
      </c>
      <c r="D24" s="10">
        <v>0</v>
      </c>
      <c r="H24" s="87"/>
      <c r="I24" s="87"/>
      <c r="J24" s="87"/>
      <c r="K24" s="87"/>
      <c r="L24" s="87"/>
      <c r="M24" s="90"/>
    </row>
    <row r="25" spans="1:13" ht="12.75">
      <c r="A25" s="49" t="s">
        <v>19</v>
      </c>
      <c r="B25" s="50"/>
      <c r="C25" s="9">
        <v>0</v>
      </c>
      <c r="D25" s="10">
        <v>0</v>
      </c>
      <c r="H25" s="87"/>
      <c r="I25" s="87"/>
      <c r="J25" s="87"/>
      <c r="K25" s="87"/>
      <c r="L25" s="87"/>
      <c r="M25" s="90"/>
    </row>
    <row r="26" spans="1:13" ht="12.75">
      <c r="A26" s="49" t="s">
        <v>20</v>
      </c>
      <c r="B26" s="50"/>
      <c r="C26" s="9">
        <v>0</v>
      </c>
      <c r="D26" s="10">
        <v>0</v>
      </c>
      <c r="H26" s="87"/>
      <c r="I26" s="87"/>
      <c r="J26" s="87"/>
      <c r="K26" s="87"/>
      <c r="L26" s="87"/>
      <c r="M26" s="90"/>
    </row>
    <row r="27" spans="1:13" ht="25.5" customHeight="1">
      <c r="A27" s="49" t="s">
        <v>99</v>
      </c>
      <c r="B27" s="50"/>
      <c r="C27" s="9">
        <v>0</v>
      </c>
      <c r="D27" s="10">
        <v>0</v>
      </c>
      <c r="H27" s="87"/>
      <c r="I27" s="87"/>
      <c r="J27" s="87"/>
      <c r="K27" s="87"/>
      <c r="L27" s="91"/>
      <c r="M27" s="92"/>
    </row>
    <row r="28" spans="1:13" ht="28.5" customHeight="1">
      <c r="A28" s="49" t="s">
        <v>22</v>
      </c>
      <c r="B28" s="50"/>
      <c r="C28" s="9">
        <v>0</v>
      </c>
      <c r="D28" s="10">
        <v>0</v>
      </c>
      <c r="H28" s="87"/>
      <c r="I28" s="87"/>
      <c r="J28" s="87"/>
      <c r="K28" s="87"/>
      <c r="L28" s="87"/>
      <c r="M28" s="87"/>
    </row>
    <row r="29" spans="1:13" ht="12.75">
      <c r="A29" s="2"/>
      <c r="B29" s="2"/>
      <c r="C29" s="2"/>
      <c r="D29" s="2"/>
      <c r="H29" s="87"/>
      <c r="I29" s="87"/>
      <c r="J29" s="87"/>
      <c r="K29" s="87"/>
      <c r="L29" s="87"/>
      <c r="M29" s="87"/>
    </row>
    <row r="30" spans="1:13" ht="12.75">
      <c r="A30" s="53" t="s">
        <v>23</v>
      </c>
      <c r="B30" s="53"/>
      <c r="C30" s="53"/>
      <c r="D30" s="2"/>
      <c r="H30" s="87"/>
      <c r="I30" s="87"/>
      <c r="J30" s="87"/>
      <c r="K30" s="87"/>
      <c r="L30" s="87"/>
      <c r="M30" s="87"/>
    </row>
    <row r="31" spans="1:4" ht="12.75" customHeight="1">
      <c r="A31" s="53" t="s">
        <v>24</v>
      </c>
      <c r="B31" s="53"/>
      <c r="C31" s="53"/>
      <c r="D31" s="53"/>
    </row>
    <row r="32" spans="1:4" ht="12.75">
      <c r="A32" s="11"/>
      <c r="B32" s="11"/>
      <c r="C32" s="11"/>
      <c r="D32" s="2"/>
    </row>
    <row r="33" spans="1:4" ht="25.5" customHeight="1">
      <c r="A33" s="12" t="s">
        <v>25</v>
      </c>
      <c r="B33" s="54" t="s">
        <v>26</v>
      </c>
      <c r="C33" s="55"/>
      <c r="D33" s="12" t="s">
        <v>27</v>
      </c>
    </row>
    <row r="34" spans="1:4" ht="12.75">
      <c r="A34" s="13" t="s">
        <v>28</v>
      </c>
      <c r="B34" s="56"/>
      <c r="C34" s="57"/>
      <c r="D34" s="14"/>
    </row>
    <row r="35" spans="1:4" ht="12.75">
      <c r="A35" s="15" t="s">
        <v>29</v>
      </c>
      <c r="B35" s="58"/>
      <c r="C35" s="57"/>
      <c r="D35" s="16">
        <f>7723.2*7.8</f>
        <v>60240.96</v>
      </c>
    </row>
    <row r="36" spans="1:4" ht="25.5" customHeight="1">
      <c r="A36" s="17" t="s">
        <v>30</v>
      </c>
      <c r="B36" s="59" t="s">
        <v>31</v>
      </c>
      <c r="C36" s="60"/>
      <c r="D36" s="18"/>
    </row>
    <row r="37" spans="1:4" ht="18" customHeight="1">
      <c r="A37" s="17" t="s">
        <v>32</v>
      </c>
      <c r="B37" s="59" t="s">
        <v>33</v>
      </c>
      <c r="C37" s="60"/>
      <c r="D37" s="18"/>
    </row>
    <row r="38" spans="1:4" ht="13.5" customHeight="1">
      <c r="A38" s="17" t="s">
        <v>34</v>
      </c>
      <c r="B38" s="59" t="s">
        <v>35</v>
      </c>
      <c r="C38" s="60"/>
      <c r="D38" s="18"/>
    </row>
    <row r="39" spans="1:4" ht="22.5" customHeight="1">
      <c r="A39" s="17" t="s">
        <v>36</v>
      </c>
      <c r="B39" s="59" t="s">
        <v>37</v>
      </c>
      <c r="C39" s="60"/>
      <c r="D39" s="18"/>
    </row>
    <row r="40" spans="1:4" ht="23.25" customHeight="1">
      <c r="A40" s="17" t="s">
        <v>38</v>
      </c>
      <c r="B40" s="59" t="s">
        <v>39</v>
      </c>
      <c r="C40" s="60"/>
      <c r="D40" s="18"/>
    </row>
    <row r="41" spans="1:4" ht="24" customHeight="1">
      <c r="A41" s="17" t="s">
        <v>40</v>
      </c>
      <c r="B41" s="59" t="s">
        <v>41</v>
      </c>
      <c r="C41" s="60"/>
      <c r="D41" s="18"/>
    </row>
    <row r="42" spans="1:4" ht="33" customHeight="1">
      <c r="A42" s="17" t="s">
        <v>42</v>
      </c>
      <c r="B42" s="59" t="s">
        <v>43</v>
      </c>
      <c r="C42" s="60"/>
      <c r="D42" s="18">
        <f>7723.2*2.2+15602.28</f>
        <v>32593.32</v>
      </c>
    </row>
    <row r="43" spans="1:4" ht="33" customHeight="1">
      <c r="A43" s="17" t="s">
        <v>44</v>
      </c>
      <c r="B43" s="59" t="s">
        <v>45</v>
      </c>
      <c r="C43" s="60"/>
      <c r="D43" s="18"/>
    </row>
    <row r="44" spans="1:4" ht="40.5" customHeight="1">
      <c r="A44" s="17" t="s">
        <v>46</v>
      </c>
      <c r="B44" s="59" t="s">
        <v>45</v>
      </c>
      <c r="C44" s="60"/>
      <c r="D44" s="18"/>
    </row>
    <row r="45" spans="1:4" ht="25.5" customHeight="1">
      <c r="A45" s="17" t="s">
        <v>47</v>
      </c>
      <c r="B45" s="59" t="s">
        <v>48</v>
      </c>
      <c r="C45" s="60"/>
      <c r="D45" s="18"/>
    </row>
    <row r="46" spans="1:4" ht="25.5">
      <c r="A46" s="17" t="s">
        <v>49</v>
      </c>
      <c r="B46" s="59" t="s">
        <v>50</v>
      </c>
      <c r="C46" s="60"/>
      <c r="D46" s="18"/>
    </row>
    <row r="47" spans="1:4" ht="25.5" customHeight="1">
      <c r="A47" s="17" t="s">
        <v>51</v>
      </c>
      <c r="B47" s="59" t="s">
        <v>31</v>
      </c>
      <c r="C47" s="60"/>
      <c r="D47" s="18"/>
    </row>
    <row r="48" spans="1:4" ht="25.5">
      <c r="A48" s="17" t="s">
        <v>52</v>
      </c>
      <c r="B48" s="59" t="s">
        <v>53</v>
      </c>
      <c r="C48" s="60"/>
      <c r="D48" s="18">
        <f>7723.2*0.06</f>
        <v>463.392</v>
      </c>
    </row>
    <row r="49" spans="1:4" ht="24.75" customHeight="1">
      <c r="A49" s="17" t="s">
        <v>54</v>
      </c>
      <c r="B49" s="59" t="s">
        <v>31</v>
      </c>
      <c r="C49" s="60"/>
      <c r="D49" s="18">
        <f>7723.2*4.99</f>
        <v>38538.768000000004</v>
      </c>
    </row>
    <row r="50" spans="1:4" ht="12.75">
      <c r="A50" s="19" t="s">
        <v>55</v>
      </c>
      <c r="B50" s="59"/>
      <c r="C50" s="60"/>
      <c r="D50" s="18"/>
    </row>
    <row r="51" spans="1:4" ht="24.75" customHeight="1">
      <c r="A51" s="17" t="s">
        <v>56</v>
      </c>
      <c r="B51" s="59" t="s">
        <v>41</v>
      </c>
      <c r="C51" s="60"/>
      <c r="D51" s="18">
        <f>7723.2*0.69</f>
        <v>5329.008</v>
      </c>
    </row>
    <row r="52" spans="1:4" ht="38.25" customHeight="1">
      <c r="A52" s="17" t="s">
        <v>57</v>
      </c>
      <c r="B52" s="59" t="s">
        <v>58</v>
      </c>
      <c r="C52" s="60"/>
      <c r="D52" s="18"/>
    </row>
    <row r="53" spans="1:4" ht="28.5" customHeight="1">
      <c r="A53" s="17" t="s">
        <v>59</v>
      </c>
      <c r="B53" s="59" t="s">
        <v>60</v>
      </c>
      <c r="C53" s="60"/>
      <c r="D53" s="18">
        <f>7723.2*3.71</f>
        <v>28653.072</v>
      </c>
    </row>
    <row r="54" spans="1:4" ht="40.5" customHeight="1">
      <c r="A54" s="17" t="s">
        <v>61</v>
      </c>
      <c r="B54" s="59" t="s">
        <v>62</v>
      </c>
      <c r="C54" s="60"/>
      <c r="D54" s="18"/>
    </row>
    <row r="55" spans="1:4" ht="38.25">
      <c r="A55" s="17" t="s">
        <v>63</v>
      </c>
      <c r="B55" s="59" t="s">
        <v>35</v>
      </c>
      <c r="C55" s="60"/>
      <c r="D55" s="18"/>
    </row>
    <row r="56" spans="1:4" ht="38.25" customHeight="1">
      <c r="A56" s="17" t="s">
        <v>64</v>
      </c>
      <c r="B56" s="59" t="s">
        <v>65</v>
      </c>
      <c r="C56" s="60"/>
      <c r="D56" s="18"/>
    </row>
    <row r="57" spans="1:4" ht="31.5" customHeight="1">
      <c r="A57" s="19" t="s">
        <v>68</v>
      </c>
      <c r="B57" s="59" t="s">
        <v>69</v>
      </c>
      <c r="C57" s="60"/>
      <c r="D57" s="18">
        <f>7723.2*16.15</f>
        <v>124729.68</v>
      </c>
    </row>
    <row r="58" spans="1:4" ht="26.25" customHeight="1">
      <c r="A58" s="17" t="s">
        <v>70</v>
      </c>
      <c r="B58" s="59" t="s">
        <v>69</v>
      </c>
      <c r="C58" s="60"/>
      <c r="D58" s="18"/>
    </row>
    <row r="59" spans="1:4" ht="24.75" customHeight="1">
      <c r="A59" s="17" t="s">
        <v>71</v>
      </c>
      <c r="B59" s="59" t="s">
        <v>69</v>
      </c>
      <c r="C59" s="60"/>
      <c r="D59" s="18"/>
    </row>
    <row r="60" spans="1:4" ht="25.5">
      <c r="A60" s="17" t="s">
        <v>72</v>
      </c>
      <c r="B60" s="59" t="s">
        <v>73</v>
      </c>
      <c r="C60" s="60"/>
      <c r="D60" s="18"/>
    </row>
    <row r="61" spans="1:4" ht="51">
      <c r="A61" s="20" t="s">
        <v>66</v>
      </c>
      <c r="B61" s="59" t="s">
        <v>67</v>
      </c>
      <c r="C61" s="60"/>
      <c r="D61" s="18">
        <f>7723.2*18.64</f>
        <v>143960.448</v>
      </c>
    </row>
    <row r="62" spans="1:4" ht="18.75" customHeight="1">
      <c r="A62" s="19" t="s">
        <v>74</v>
      </c>
      <c r="B62" s="61"/>
      <c r="C62" s="62"/>
      <c r="D62" s="21">
        <f>D35+D50+D61+D57+D42+D49+D41+D48+D51+D53</f>
        <v>434508.6479999999</v>
      </c>
    </row>
    <row r="63" spans="1:3" ht="12.75">
      <c r="A63" s="11"/>
      <c r="B63" s="11"/>
      <c r="C63" s="11"/>
    </row>
    <row r="64" spans="1:3" ht="12.75">
      <c r="A64" s="22" t="s">
        <v>76</v>
      </c>
      <c r="B64" s="22"/>
      <c r="C64" s="22"/>
    </row>
    <row r="65" spans="1:3" ht="12.75">
      <c r="A65" s="22" t="s">
        <v>77</v>
      </c>
      <c r="B65" s="22"/>
      <c r="C65" s="22"/>
    </row>
    <row r="66" spans="1:3" ht="12.75">
      <c r="A66" s="22" t="s">
        <v>78</v>
      </c>
      <c r="B66" s="22"/>
      <c r="C66" s="22"/>
    </row>
    <row r="67" spans="1:3" ht="12.75">
      <c r="A67" s="22" t="s">
        <v>79</v>
      </c>
      <c r="B67" s="22"/>
      <c r="C67" s="22"/>
    </row>
    <row r="68" spans="1:3" ht="12.75">
      <c r="A68" s="22" t="s">
        <v>84</v>
      </c>
      <c r="B68" s="1"/>
      <c r="C68" s="1"/>
    </row>
    <row r="69" spans="1:3" ht="12.75">
      <c r="A69" s="22" t="s">
        <v>85</v>
      </c>
      <c r="B69" s="1"/>
      <c r="C69" s="1"/>
    </row>
    <row r="70" spans="1:3" ht="12.75">
      <c r="A70" s="22" t="s">
        <v>86</v>
      </c>
      <c r="B70" s="1"/>
      <c r="C70" s="1"/>
    </row>
    <row r="71" spans="1:3" ht="12.75">
      <c r="A71" s="22"/>
      <c r="B71" s="1"/>
      <c r="C71" s="1"/>
    </row>
    <row r="72" spans="1:3" ht="12.75">
      <c r="A72" s="22" t="s">
        <v>80</v>
      </c>
      <c r="B72" s="22"/>
      <c r="C72" s="1"/>
    </row>
  </sheetData>
  <mergeCells count="52">
    <mergeCell ref="B58:C58"/>
    <mergeCell ref="B59:C59"/>
    <mergeCell ref="B60:C60"/>
    <mergeCell ref="B62:C62"/>
    <mergeCell ref="B61:C61"/>
    <mergeCell ref="B55:C55"/>
    <mergeCell ref="B56:C56"/>
    <mergeCell ref="B57:C57"/>
    <mergeCell ref="B51:C51"/>
    <mergeCell ref="B52:C52"/>
    <mergeCell ref="B53:C53"/>
    <mergeCell ref="B54:C54"/>
    <mergeCell ref="B47:C47"/>
    <mergeCell ref="B48:C48"/>
    <mergeCell ref="B49:C49"/>
    <mergeCell ref="B50:C50"/>
    <mergeCell ref="B43:C43"/>
    <mergeCell ref="B44:C44"/>
    <mergeCell ref="B45:C45"/>
    <mergeCell ref="B46:C46"/>
    <mergeCell ref="B39:C39"/>
    <mergeCell ref="B40:C40"/>
    <mergeCell ref="B41:C41"/>
    <mergeCell ref="B42:C42"/>
    <mergeCell ref="B35:C35"/>
    <mergeCell ref="B36:C36"/>
    <mergeCell ref="B37:C37"/>
    <mergeCell ref="B38:C38"/>
    <mergeCell ref="A30:C30"/>
    <mergeCell ref="A31:D31"/>
    <mergeCell ref="B33:C33"/>
    <mergeCell ref="B34:C34"/>
    <mergeCell ref="A25:B25"/>
    <mergeCell ref="A26:B26"/>
    <mergeCell ref="A27:B27"/>
    <mergeCell ref="A28:B28"/>
    <mergeCell ref="A21:B21"/>
    <mergeCell ref="A22:B22"/>
    <mergeCell ref="A23:B23"/>
    <mergeCell ref="A24:B24"/>
    <mergeCell ref="A17:B17"/>
    <mergeCell ref="A18:B18"/>
    <mergeCell ref="A19:B19"/>
    <mergeCell ref="A20:B20"/>
    <mergeCell ref="A13:B13"/>
    <mergeCell ref="A14:B14"/>
    <mergeCell ref="A15:B15"/>
    <mergeCell ref="A16:B16"/>
    <mergeCell ref="A5:C5"/>
    <mergeCell ref="A6:C6"/>
    <mergeCell ref="A7:C7"/>
    <mergeCell ref="A12:B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72"/>
  <sheetViews>
    <sheetView workbookViewId="0" topLeftCell="A1">
      <selection activeCell="A4" sqref="A4:C4"/>
    </sheetView>
  </sheetViews>
  <sheetFormatPr defaultColWidth="9.140625" defaultRowHeight="12.75"/>
  <cols>
    <col min="1" max="1" width="50.140625" style="0" customWidth="1"/>
    <col min="2" max="2" width="1.28515625" style="0" customWidth="1"/>
    <col min="3" max="3" width="16.28125" style="0" customWidth="1"/>
    <col min="4" max="4" width="15.421875" style="0" customWidth="1"/>
    <col min="5" max="5" width="9.8515625" style="0" customWidth="1"/>
    <col min="6" max="6" width="14.28125" style="0" customWidth="1"/>
    <col min="7" max="7" width="15.00390625" style="0" customWidth="1"/>
    <col min="8" max="8" width="9.421875" style="0" customWidth="1"/>
  </cols>
  <sheetData>
    <row r="1" ht="12.75">
      <c r="M1" s="4"/>
    </row>
    <row r="2" ht="12.75">
      <c r="M2" s="4"/>
    </row>
    <row r="3" spans="9:14" ht="12.75">
      <c r="I3" s="87"/>
      <c r="J3" s="87"/>
      <c r="K3" s="87"/>
      <c r="L3" s="87"/>
      <c r="M3" s="87"/>
      <c r="N3" s="87"/>
    </row>
    <row r="4" spans="1:14" ht="12.75">
      <c r="A4" s="44" t="s">
        <v>0</v>
      </c>
      <c r="B4" s="44"/>
      <c r="C4" s="44"/>
      <c r="D4" s="1"/>
      <c r="I4" s="87"/>
      <c r="J4" s="87"/>
      <c r="K4" s="87"/>
      <c r="L4" s="87"/>
      <c r="M4" s="87"/>
      <c r="N4" s="87"/>
    </row>
    <row r="5" spans="1:14" ht="12.75">
      <c r="A5" s="44" t="s">
        <v>1</v>
      </c>
      <c r="B5" s="44"/>
      <c r="C5" s="44"/>
      <c r="D5" s="1"/>
      <c r="I5" s="87"/>
      <c r="J5" s="87"/>
      <c r="K5" s="87"/>
      <c r="L5" s="87"/>
      <c r="M5" s="87"/>
      <c r="N5" s="87"/>
    </row>
    <row r="6" spans="1:14" ht="12.75">
      <c r="A6" s="44" t="s">
        <v>2</v>
      </c>
      <c r="B6" s="44"/>
      <c r="C6" s="44"/>
      <c r="D6" s="2"/>
      <c r="I6" s="87"/>
      <c r="J6" s="87"/>
      <c r="K6" s="87"/>
      <c r="L6" s="87"/>
      <c r="M6" s="87"/>
      <c r="N6" s="87"/>
    </row>
    <row r="7" spans="1:14" ht="12.75">
      <c r="A7" s="3"/>
      <c r="B7" s="4"/>
      <c r="C7" s="4"/>
      <c r="D7" s="2"/>
      <c r="I7" s="87"/>
      <c r="J7" s="87"/>
      <c r="K7" s="87"/>
      <c r="L7" s="87"/>
      <c r="M7" s="87"/>
      <c r="N7" s="87"/>
    </row>
    <row r="8" spans="1:14" ht="12.75">
      <c r="A8" s="5" t="s">
        <v>100</v>
      </c>
      <c r="D8" s="2"/>
      <c r="I8" s="87"/>
      <c r="J8" s="87"/>
      <c r="K8" s="87"/>
      <c r="L8" s="87"/>
      <c r="M8" s="87"/>
      <c r="N8" s="87"/>
    </row>
    <row r="9" spans="4:14" ht="12.75">
      <c r="D9" s="2"/>
      <c r="I9" s="87"/>
      <c r="J9" s="87"/>
      <c r="K9" s="87"/>
      <c r="L9" s="87"/>
      <c r="M9" s="87"/>
      <c r="N9" s="87"/>
    </row>
    <row r="10" spans="1:14" ht="12.75">
      <c r="A10" t="s">
        <v>101</v>
      </c>
      <c r="D10" s="2"/>
      <c r="I10" s="87"/>
      <c r="J10" s="87"/>
      <c r="K10" s="87"/>
      <c r="L10" s="87"/>
      <c r="M10" s="87"/>
      <c r="N10" s="87"/>
    </row>
    <row r="11" spans="1:14" ht="51">
      <c r="A11" s="45" t="s">
        <v>5</v>
      </c>
      <c r="B11" s="46"/>
      <c r="C11" s="6" t="s">
        <v>6</v>
      </c>
      <c r="D11" s="6" t="s">
        <v>7</v>
      </c>
      <c r="I11" s="87"/>
      <c r="J11" s="87"/>
      <c r="K11" s="87"/>
      <c r="L11" s="87"/>
      <c r="M11" s="87"/>
      <c r="N11" s="87"/>
    </row>
    <row r="12" spans="1:14" ht="12.75">
      <c r="A12" s="47" t="s">
        <v>8</v>
      </c>
      <c r="B12" s="48"/>
      <c r="C12" s="7">
        <v>0</v>
      </c>
      <c r="D12" s="8">
        <v>0</v>
      </c>
      <c r="I12" s="87"/>
      <c r="J12" s="87"/>
      <c r="K12" s="89"/>
      <c r="L12" s="87"/>
      <c r="M12" s="90"/>
      <c r="N12" s="87"/>
    </row>
    <row r="13" spans="1:14" ht="12.75">
      <c r="A13" s="47" t="s">
        <v>9</v>
      </c>
      <c r="B13" s="48"/>
      <c r="C13" s="8"/>
      <c r="D13" s="6"/>
      <c r="I13" s="87"/>
      <c r="J13" s="87"/>
      <c r="K13" s="89"/>
      <c r="L13" s="87"/>
      <c r="M13" s="90"/>
      <c r="N13" s="87"/>
    </row>
    <row r="14" spans="1:14" ht="12.75">
      <c r="A14" s="49" t="s">
        <v>10</v>
      </c>
      <c r="B14" s="50"/>
      <c r="C14" s="9">
        <f>C16+C17+C18+C19</f>
        <v>430727.95999999996</v>
      </c>
      <c r="D14" s="10">
        <f>19236+13110</f>
        <v>32346</v>
      </c>
      <c r="I14" s="87"/>
      <c r="J14" s="87"/>
      <c r="K14" s="89"/>
      <c r="L14" s="87"/>
      <c r="M14" s="90"/>
      <c r="N14" s="87"/>
    </row>
    <row r="15" spans="1:14" ht="12.75">
      <c r="A15" s="49" t="s">
        <v>11</v>
      </c>
      <c r="B15" s="50"/>
      <c r="C15" s="9"/>
      <c r="D15" s="10"/>
      <c r="I15" s="87"/>
      <c r="J15" s="87"/>
      <c r="K15" s="89"/>
      <c r="L15" s="87"/>
      <c r="M15" s="90"/>
      <c r="N15" s="87"/>
    </row>
    <row r="16" spans="1:14" ht="12.75">
      <c r="A16" s="51" t="s">
        <v>12</v>
      </c>
      <c r="B16" s="52"/>
      <c r="C16" s="9">
        <f>D34+D41+D47+D48</f>
        <v>130689.31999999999</v>
      </c>
      <c r="D16" s="10"/>
      <c r="I16" s="87"/>
      <c r="J16" s="87"/>
      <c r="K16" s="89"/>
      <c r="L16" s="87"/>
      <c r="M16" s="90"/>
      <c r="N16" s="87"/>
    </row>
    <row r="17" spans="1:14" ht="12.75">
      <c r="A17" s="51" t="s">
        <v>13</v>
      </c>
      <c r="B17" s="52"/>
      <c r="C17" s="9">
        <f>D50+D52</f>
        <v>33686.399999999994</v>
      </c>
      <c r="D17" s="10"/>
      <c r="I17" s="87"/>
      <c r="J17" s="87"/>
      <c r="K17" s="89"/>
      <c r="L17" s="87"/>
      <c r="M17" s="90"/>
      <c r="N17" s="87"/>
    </row>
    <row r="18" spans="1:14" ht="12.75">
      <c r="A18" s="51" t="s">
        <v>14</v>
      </c>
      <c r="B18" s="52"/>
      <c r="C18" s="9">
        <f>D56</f>
        <v>123644.4</v>
      </c>
      <c r="D18" s="10"/>
      <c r="I18" s="87"/>
      <c r="J18" s="87"/>
      <c r="K18" s="89"/>
      <c r="L18" s="87"/>
      <c r="M18" s="90"/>
      <c r="N18" s="87"/>
    </row>
    <row r="19" spans="1:14" ht="12.75">
      <c r="A19" s="51" t="s">
        <v>15</v>
      </c>
      <c r="B19" s="52"/>
      <c r="C19" s="9">
        <f>D60</f>
        <v>142707.84</v>
      </c>
      <c r="D19" s="10"/>
      <c r="I19" s="87"/>
      <c r="J19" s="87"/>
      <c r="K19" s="89"/>
      <c r="L19" s="87"/>
      <c r="M19" s="90"/>
      <c r="N19" s="87"/>
    </row>
    <row r="20" spans="1:14" ht="12.75">
      <c r="A20" s="49" t="s">
        <v>16</v>
      </c>
      <c r="B20" s="50"/>
      <c r="C20" s="9">
        <f>C12+C14-C22</f>
        <v>396122.83999999997</v>
      </c>
      <c r="D20" s="10">
        <f>D12+D14-D22</f>
        <v>28949.67</v>
      </c>
      <c r="I20" s="87"/>
      <c r="J20" s="87"/>
      <c r="K20" s="89"/>
      <c r="L20" s="87"/>
      <c r="M20" s="90"/>
      <c r="N20" s="87"/>
    </row>
    <row r="21" spans="1:14" ht="12.75">
      <c r="A21" s="49" t="s">
        <v>17</v>
      </c>
      <c r="B21" s="50"/>
      <c r="C21" s="10">
        <v>0</v>
      </c>
      <c r="D21" s="10"/>
      <c r="I21" s="87"/>
      <c r="J21" s="87"/>
      <c r="K21" s="89"/>
      <c r="L21" s="87"/>
      <c r="M21" s="90"/>
      <c r="N21" s="87"/>
    </row>
    <row r="22" spans="1:14" ht="12.75">
      <c r="A22" s="49" t="s">
        <v>18</v>
      </c>
      <c r="B22" s="50"/>
      <c r="C22" s="10">
        <v>34605.12</v>
      </c>
      <c r="D22" s="10">
        <f>2019.78+1376.55</f>
        <v>3396.33</v>
      </c>
      <c r="I22" s="87"/>
      <c r="J22" s="91"/>
      <c r="K22" s="92"/>
      <c r="L22" s="91"/>
      <c r="M22" s="92"/>
      <c r="N22" s="87"/>
    </row>
    <row r="23" spans="1:14" ht="12.75">
      <c r="A23" s="49" t="s">
        <v>98</v>
      </c>
      <c r="B23" s="50"/>
      <c r="C23" s="9">
        <f>C14</f>
        <v>430727.95999999996</v>
      </c>
      <c r="D23" s="10">
        <v>0</v>
      </c>
      <c r="I23" s="87"/>
      <c r="J23" s="87"/>
      <c r="K23" s="87"/>
      <c r="L23" s="87"/>
      <c r="M23" s="90"/>
      <c r="N23" s="87"/>
    </row>
    <row r="24" spans="1:14" ht="12.75">
      <c r="A24" s="49" t="s">
        <v>19</v>
      </c>
      <c r="B24" s="50"/>
      <c r="C24" s="9">
        <v>0</v>
      </c>
      <c r="D24" s="10">
        <v>0</v>
      </c>
      <c r="I24" s="87"/>
      <c r="J24" s="87"/>
      <c r="K24" s="87"/>
      <c r="L24" s="87"/>
      <c r="M24" s="90"/>
      <c r="N24" s="87"/>
    </row>
    <row r="25" spans="1:14" ht="12.75">
      <c r="A25" s="49" t="s">
        <v>20</v>
      </c>
      <c r="B25" s="50"/>
      <c r="C25" s="9">
        <v>0</v>
      </c>
      <c r="D25" s="10">
        <v>0</v>
      </c>
      <c r="I25" s="87"/>
      <c r="J25" s="87"/>
      <c r="K25" s="87"/>
      <c r="L25" s="87"/>
      <c r="M25" s="90"/>
      <c r="N25" s="87"/>
    </row>
    <row r="26" spans="1:14" ht="25.5" customHeight="1">
      <c r="A26" s="49" t="s">
        <v>99</v>
      </c>
      <c r="B26" s="50"/>
      <c r="C26" s="9">
        <v>0</v>
      </c>
      <c r="D26" s="10">
        <v>0</v>
      </c>
      <c r="I26" s="87"/>
      <c r="J26" s="87"/>
      <c r="K26" s="87"/>
      <c r="L26" s="91"/>
      <c r="M26" s="92"/>
      <c r="N26" s="87"/>
    </row>
    <row r="27" spans="1:14" ht="28.5" customHeight="1">
      <c r="A27" s="49" t="s">
        <v>22</v>
      </c>
      <c r="B27" s="50"/>
      <c r="C27" s="9">
        <v>0</v>
      </c>
      <c r="D27" s="10">
        <v>0</v>
      </c>
      <c r="I27" s="87"/>
      <c r="J27" s="87"/>
      <c r="K27" s="87"/>
      <c r="L27" s="87"/>
      <c r="M27" s="87"/>
      <c r="N27" s="87"/>
    </row>
    <row r="28" spans="1:14" ht="12.75">
      <c r="A28" s="2"/>
      <c r="B28" s="2"/>
      <c r="C28" s="2"/>
      <c r="D28" s="2"/>
      <c r="I28" s="87"/>
      <c r="J28" s="87"/>
      <c r="K28" s="87"/>
      <c r="L28" s="87"/>
      <c r="M28" s="87"/>
      <c r="N28" s="87"/>
    </row>
    <row r="29" spans="1:14" ht="12.75">
      <c r="A29" s="53" t="s">
        <v>23</v>
      </c>
      <c r="B29" s="53"/>
      <c r="C29" s="53"/>
      <c r="D29" s="2"/>
      <c r="I29" s="87"/>
      <c r="J29" s="87"/>
      <c r="K29" s="87"/>
      <c r="L29" s="87"/>
      <c r="M29" s="87"/>
      <c r="N29" s="87"/>
    </row>
    <row r="30" spans="1:4" ht="12.75" customHeight="1">
      <c r="A30" s="53" t="s">
        <v>24</v>
      </c>
      <c r="B30" s="53"/>
      <c r="C30" s="53"/>
      <c r="D30" s="53"/>
    </row>
    <row r="31" spans="1:4" ht="12.75">
      <c r="A31" s="11"/>
      <c r="B31" s="11"/>
      <c r="C31" s="11"/>
      <c r="D31" s="2"/>
    </row>
    <row r="32" spans="1:4" ht="25.5" customHeight="1">
      <c r="A32" s="12" t="s">
        <v>25</v>
      </c>
      <c r="B32" s="54" t="s">
        <v>26</v>
      </c>
      <c r="C32" s="55"/>
      <c r="D32" s="12" t="s">
        <v>27</v>
      </c>
    </row>
    <row r="33" spans="1:4" ht="12.75">
      <c r="A33" s="13" t="s">
        <v>28</v>
      </c>
      <c r="B33" s="56"/>
      <c r="C33" s="57"/>
      <c r="D33" s="14"/>
    </row>
    <row r="34" spans="1:4" ht="12.75">
      <c r="A34" s="15" t="s">
        <v>29</v>
      </c>
      <c r="B34" s="58"/>
      <c r="C34" s="57"/>
      <c r="D34" s="16">
        <f>7656*7.8</f>
        <v>59716.799999999996</v>
      </c>
    </row>
    <row r="35" spans="1:4" ht="25.5" customHeight="1">
      <c r="A35" s="17" t="s">
        <v>30</v>
      </c>
      <c r="B35" s="59" t="s">
        <v>31</v>
      </c>
      <c r="C35" s="60"/>
      <c r="D35" s="18"/>
    </row>
    <row r="36" spans="1:4" ht="18" customHeight="1">
      <c r="A36" s="17" t="s">
        <v>32</v>
      </c>
      <c r="B36" s="59" t="s">
        <v>33</v>
      </c>
      <c r="C36" s="60"/>
      <c r="D36" s="18"/>
    </row>
    <row r="37" spans="1:4" ht="13.5" customHeight="1">
      <c r="A37" s="17" t="s">
        <v>34</v>
      </c>
      <c r="B37" s="59" t="s">
        <v>35</v>
      </c>
      <c r="C37" s="60"/>
      <c r="D37" s="18"/>
    </row>
    <row r="38" spans="1:4" ht="22.5" customHeight="1">
      <c r="A38" s="17" t="s">
        <v>36</v>
      </c>
      <c r="B38" s="59" t="s">
        <v>37</v>
      </c>
      <c r="C38" s="60"/>
      <c r="D38" s="18"/>
    </row>
    <row r="39" spans="1:4" ht="23.25" customHeight="1">
      <c r="A39" s="17" t="s">
        <v>38</v>
      </c>
      <c r="B39" s="59" t="s">
        <v>39</v>
      </c>
      <c r="C39" s="60"/>
      <c r="D39" s="18"/>
    </row>
    <row r="40" spans="1:4" ht="24" customHeight="1">
      <c r="A40" s="17" t="s">
        <v>40</v>
      </c>
      <c r="B40" s="59" t="s">
        <v>41</v>
      </c>
      <c r="C40" s="60"/>
      <c r="D40" s="18"/>
    </row>
    <row r="41" spans="1:4" ht="33" customHeight="1">
      <c r="A41" s="17" t="s">
        <v>42</v>
      </c>
      <c r="B41" s="59" t="s">
        <v>43</v>
      </c>
      <c r="C41" s="60"/>
      <c r="D41" s="18">
        <f>7656*2.2+15466.52</f>
        <v>32309.72</v>
      </c>
    </row>
    <row r="42" spans="1:4" ht="33" customHeight="1">
      <c r="A42" s="17" t="s">
        <v>44</v>
      </c>
      <c r="B42" s="59" t="s">
        <v>45</v>
      </c>
      <c r="C42" s="60"/>
      <c r="D42" s="18"/>
    </row>
    <row r="43" spans="1:4" ht="40.5" customHeight="1">
      <c r="A43" s="17" t="s">
        <v>46</v>
      </c>
      <c r="B43" s="59" t="s">
        <v>45</v>
      </c>
      <c r="C43" s="60"/>
      <c r="D43" s="18"/>
    </row>
    <row r="44" spans="1:4" ht="25.5" customHeight="1">
      <c r="A44" s="17" t="s">
        <v>47</v>
      </c>
      <c r="B44" s="59" t="s">
        <v>48</v>
      </c>
      <c r="C44" s="60"/>
      <c r="D44" s="18"/>
    </row>
    <row r="45" spans="1:4" ht="25.5">
      <c r="A45" s="17" t="s">
        <v>49</v>
      </c>
      <c r="B45" s="59" t="s">
        <v>50</v>
      </c>
      <c r="C45" s="60"/>
      <c r="D45" s="18"/>
    </row>
    <row r="46" spans="1:4" ht="25.5" customHeight="1">
      <c r="A46" s="17" t="s">
        <v>51</v>
      </c>
      <c r="B46" s="59" t="s">
        <v>31</v>
      </c>
      <c r="C46" s="60"/>
      <c r="D46" s="18"/>
    </row>
    <row r="47" spans="1:4" ht="25.5">
      <c r="A47" s="17" t="s">
        <v>52</v>
      </c>
      <c r="B47" s="59" t="s">
        <v>53</v>
      </c>
      <c r="C47" s="60"/>
      <c r="D47" s="18">
        <f>7656*0.06</f>
        <v>459.35999999999996</v>
      </c>
    </row>
    <row r="48" spans="1:4" ht="24.75" customHeight="1">
      <c r="A48" s="17" t="s">
        <v>54</v>
      </c>
      <c r="B48" s="59" t="s">
        <v>31</v>
      </c>
      <c r="C48" s="60"/>
      <c r="D48" s="18">
        <f>7656*4.99</f>
        <v>38203.44</v>
      </c>
    </row>
    <row r="49" spans="1:4" ht="12.75">
      <c r="A49" s="19" t="s">
        <v>55</v>
      </c>
      <c r="B49" s="59"/>
      <c r="C49" s="60"/>
      <c r="D49" s="18"/>
    </row>
    <row r="50" spans="1:4" ht="24.75" customHeight="1">
      <c r="A50" s="17" t="s">
        <v>56</v>
      </c>
      <c r="B50" s="59" t="s">
        <v>41</v>
      </c>
      <c r="C50" s="60"/>
      <c r="D50" s="18">
        <f>7656*0.69</f>
        <v>5282.639999999999</v>
      </c>
    </row>
    <row r="51" spans="1:4" ht="38.25" customHeight="1">
      <c r="A51" s="17" t="s">
        <v>57</v>
      </c>
      <c r="B51" s="59" t="s">
        <v>58</v>
      </c>
      <c r="C51" s="60"/>
      <c r="D51" s="18"/>
    </row>
    <row r="52" spans="1:4" ht="28.5" customHeight="1">
      <c r="A52" s="17" t="s">
        <v>59</v>
      </c>
      <c r="B52" s="59" t="s">
        <v>60</v>
      </c>
      <c r="C52" s="60"/>
      <c r="D52" s="18">
        <f>7656*3.71</f>
        <v>28403.76</v>
      </c>
    </row>
    <row r="53" spans="1:4" ht="40.5" customHeight="1">
      <c r="A53" s="17" t="s">
        <v>61</v>
      </c>
      <c r="B53" s="59" t="s">
        <v>62</v>
      </c>
      <c r="C53" s="60"/>
      <c r="D53" s="18"/>
    </row>
    <row r="54" spans="1:4" ht="38.25">
      <c r="A54" s="17" t="s">
        <v>63</v>
      </c>
      <c r="B54" s="59" t="s">
        <v>35</v>
      </c>
      <c r="C54" s="60"/>
      <c r="D54" s="18"/>
    </row>
    <row r="55" spans="1:4" ht="38.25" customHeight="1">
      <c r="A55" s="17" t="s">
        <v>64</v>
      </c>
      <c r="B55" s="59" t="s">
        <v>65</v>
      </c>
      <c r="C55" s="60"/>
      <c r="D55" s="18"/>
    </row>
    <row r="56" spans="1:4" ht="31.5" customHeight="1">
      <c r="A56" s="19" t="s">
        <v>68</v>
      </c>
      <c r="B56" s="59" t="s">
        <v>69</v>
      </c>
      <c r="C56" s="60"/>
      <c r="D56" s="18">
        <f>7656*16.15</f>
        <v>123644.4</v>
      </c>
    </row>
    <row r="57" spans="1:4" ht="26.25" customHeight="1">
      <c r="A57" s="17" t="s">
        <v>70</v>
      </c>
      <c r="B57" s="59" t="s">
        <v>69</v>
      </c>
      <c r="C57" s="60"/>
      <c r="D57" s="18"/>
    </row>
    <row r="58" spans="1:4" ht="24.75" customHeight="1">
      <c r="A58" s="17" t="s">
        <v>71</v>
      </c>
      <c r="B58" s="59" t="s">
        <v>69</v>
      </c>
      <c r="C58" s="60"/>
      <c r="D58" s="18"/>
    </row>
    <row r="59" spans="1:4" ht="25.5">
      <c r="A59" s="17" t="s">
        <v>72</v>
      </c>
      <c r="B59" s="59" t="s">
        <v>73</v>
      </c>
      <c r="C59" s="60"/>
      <c r="D59" s="18"/>
    </row>
    <row r="60" spans="1:4" ht="51">
      <c r="A60" s="20" t="s">
        <v>66</v>
      </c>
      <c r="B60" s="59" t="s">
        <v>67</v>
      </c>
      <c r="C60" s="60"/>
      <c r="D60" s="18">
        <f>7656*18.64</f>
        <v>142707.84</v>
      </c>
    </row>
    <row r="61" spans="1:4" ht="12.75">
      <c r="A61" s="19" t="s">
        <v>74</v>
      </c>
      <c r="B61" s="61"/>
      <c r="C61" s="62"/>
      <c r="D61" s="21">
        <f>D34+D49+D60+D56+D41+D48+D40+D47+D50+D52</f>
        <v>430727.96</v>
      </c>
    </row>
    <row r="62" spans="1:3" ht="12.75">
      <c r="A62" s="11"/>
      <c r="B62" s="11"/>
      <c r="C62" s="11"/>
    </row>
    <row r="63" spans="1:3" ht="12.75">
      <c r="A63" s="22" t="s">
        <v>76</v>
      </c>
      <c r="B63" s="22"/>
      <c r="C63" s="22"/>
    </row>
    <row r="64" spans="1:3" ht="12.75">
      <c r="A64" s="22" t="s">
        <v>77</v>
      </c>
      <c r="B64" s="22"/>
      <c r="C64" s="22"/>
    </row>
    <row r="65" spans="1:3" ht="12.75">
      <c r="A65" s="22" t="s">
        <v>78</v>
      </c>
      <c r="B65" s="22"/>
      <c r="C65" s="22"/>
    </row>
    <row r="66" spans="1:3" ht="12.75">
      <c r="A66" s="22" t="s">
        <v>79</v>
      </c>
      <c r="B66" s="22"/>
      <c r="C66" s="22"/>
    </row>
    <row r="67" spans="1:3" ht="12.75">
      <c r="A67" s="22" t="s">
        <v>84</v>
      </c>
      <c r="B67" s="1"/>
      <c r="C67" s="1"/>
    </row>
    <row r="68" spans="1:3" ht="12.75">
      <c r="A68" s="22" t="s">
        <v>85</v>
      </c>
      <c r="B68" s="1"/>
      <c r="C68" s="1"/>
    </row>
    <row r="69" spans="1:3" ht="12.75">
      <c r="A69" s="22" t="s">
        <v>86</v>
      </c>
      <c r="B69" s="1"/>
      <c r="C69" s="1"/>
    </row>
    <row r="70" spans="1:3" ht="12.75">
      <c r="A70" s="22"/>
      <c r="B70" s="1"/>
      <c r="C70" s="1"/>
    </row>
    <row r="71" spans="1:3" ht="12.75">
      <c r="A71" s="1"/>
      <c r="B71" s="1"/>
      <c r="C71" s="1"/>
    </row>
    <row r="72" spans="1:3" ht="12.75">
      <c r="A72" s="22" t="s">
        <v>80</v>
      </c>
      <c r="B72" s="22"/>
      <c r="C72" s="1"/>
    </row>
  </sheetData>
  <mergeCells count="52">
    <mergeCell ref="B58:C58"/>
    <mergeCell ref="B59:C59"/>
    <mergeCell ref="B60:C60"/>
    <mergeCell ref="B61:C61"/>
    <mergeCell ref="B50:C50"/>
    <mergeCell ref="B51:C51"/>
    <mergeCell ref="B52:C52"/>
    <mergeCell ref="B57:C57"/>
    <mergeCell ref="B53:C53"/>
    <mergeCell ref="B54:C54"/>
    <mergeCell ref="B55:C55"/>
    <mergeCell ref="B56:C56"/>
    <mergeCell ref="B46:C46"/>
    <mergeCell ref="B47:C47"/>
    <mergeCell ref="B48:C48"/>
    <mergeCell ref="B49:C49"/>
    <mergeCell ref="B42:C42"/>
    <mergeCell ref="B43:C43"/>
    <mergeCell ref="B44:C44"/>
    <mergeCell ref="B45:C45"/>
    <mergeCell ref="B38:C38"/>
    <mergeCell ref="B39:C39"/>
    <mergeCell ref="B40:C40"/>
    <mergeCell ref="B41:C41"/>
    <mergeCell ref="B34:C34"/>
    <mergeCell ref="B35:C35"/>
    <mergeCell ref="B36:C36"/>
    <mergeCell ref="B37:C37"/>
    <mergeCell ref="A29:C29"/>
    <mergeCell ref="A30:D30"/>
    <mergeCell ref="B32:C32"/>
    <mergeCell ref="B33:C33"/>
    <mergeCell ref="A4:C4"/>
    <mergeCell ref="A5:C5"/>
    <mergeCell ref="A6:C6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72"/>
  <sheetViews>
    <sheetView workbookViewId="0" topLeftCell="A1">
      <selection activeCell="F22" sqref="F22"/>
    </sheetView>
  </sheetViews>
  <sheetFormatPr defaultColWidth="9.140625" defaultRowHeight="12.75"/>
  <cols>
    <col min="1" max="1" width="50.140625" style="0" customWidth="1"/>
    <col min="2" max="2" width="1.28515625" style="0" customWidth="1"/>
    <col min="3" max="3" width="16.28125" style="0" customWidth="1"/>
    <col min="4" max="4" width="15.421875" style="0" customWidth="1"/>
    <col min="5" max="5" width="9.8515625" style="0" customWidth="1"/>
    <col min="6" max="6" width="14.28125" style="0" customWidth="1"/>
    <col min="7" max="7" width="15.00390625" style="0" customWidth="1"/>
    <col min="8" max="8" width="9.421875" style="0" customWidth="1"/>
    <col min="13" max="13" width="9.7109375" style="0" customWidth="1"/>
  </cols>
  <sheetData>
    <row r="1" ht="12.75">
      <c r="M1" s="4"/>
    </row>
    <row r="4" spans="1:4" ht="12.75">
      <c r="A4" s="44" t="s">
        <v>0</v>
      </c>
      <c r="B4" s="44"/>
      <c r="C4" s="44"/>
      <c r="D4" s="1"/>
    </row>
    <row r="5" spans="1:4" ht="12.75">
      <c r="A5" s="44" t="s">
        <v>1</v>
      </c>
      <c r="B5" s="44"/>
      <c r="C5" s="44"/>
      <c r="D5" s="1"/>
    </row>
    <row r="6" spans="1:4" ht="12.75">
      <c r="A6" s="44" t="s">
        <v>2</v>
      </c>
      <c r="B6" s="44"/>
      <c r="C6" s="44"/>
      <c r="D6" s="2"/>
    </row>
    <row r="7" spans="1:4" ht="12.75">
      <c r="A7" s="3"/>
      <c r="B7" s="4"/>
      <c r="C7" s="4"/>
      <c r="D7" s="2"/>
    </row>
    <row r="8" spans="1:4" ht="12.75">
      <c r="A8" s="5" t="s">
        <v>102</v>
      </c>
      <c r="D8" s="2"/>
    </row>
    <row r="9" ht="12.75">
      <c r="D9" s="2"/>
    </row>
    <row r="10" spans="1:4" ht="12.75">
      <c r="A10" t="s">
        <v>103</v>
      </c>
      <c r="D10" s="2"/>
    </row>
    <row r="11" spans="1:14" ht="51">
      <c r="A11" s="45" t="s">
        <v>5</v>
      </c>
      <c r="B11" s="46"/>
      <c r="C11" s="6" t="s">
        <v>6</v>
      </c>
      <c r="D11" s="6" t="s">
        <v>7</v>
      </c>
      <c r="I11" s="87"/>
      <c r="J11" s="87"/>
      <c r="K11" s="87"/>
      <c r="L11" s="87"/>
      <c r="M11" s="87"/>
      <c r="N11" s="87"/>
    </row>
    <row r="12" spans="1:14" ht="12.75">
      <c r="A12" s="47" t="s">
        <v>8</v>
      </c>
      <c r="B12" s="48"/>
      <c r="C12" s="7">
        <v>0</v>
      </c>
      <c r="D12" s="8">
        <v>0</v>
      </c>
      <c r="I12" s="87"/>
      <c r="J12" s="87"/>
      <c r="K12" s="89"/>
      <c r="L12" s="87"/>
      <c r="M12" s="90"/>
      <c r="N12" s="87"/>
    </row>
    <row r="13" spans="1:14" ht="12.75">
      <c r="A13" s="47" t="s">
        <v>9</v>
      </c>
      <c r="B13" s="48"/>
      <c r="C13" s="8"/>
      <c r="D13" s="6"/>
      <c r="I13" s="87"/>
      <c r="J13" s="87"/>
      <c r="K13" s="89"/>
      <c r="L13" s="87"/>
      <c r="M13" s="90"/>
      <c r="N13" s="87"/>
    </row>
    <row r="14" spans="1:14" ht="12.75">
      <c r="A14" s="49" t="s">
        <v>10</v>
      </c>
      <c r="B14" s="50"/>
      <c r="C14" s="9">
        <f>C16+C17+C18+C19</f>
        <v>413782.39200000005</v>
      </c>
      <c r="D14" s="10">
        <f>12535.46+8543.35</f>
        <v>21078.809999999998</v>
      </c>
      <c r="I14" s="87"/>
      <c r="J14" s="87"/>
      <c r="K14" s="89"/>
      <c r="L14" s="87"/>
      <c r="M14" s="90"/>
      <c r="N14" s="87"/>
    </row>
    <row r="15" spans="1:14" ht="12.75">
      <c r="A15" s="49" t="s">
        <v>11</v>
      </c>
      <c r="B15" s="50"/>
      <c r="C15" s="9"/>
      <c r="D15" s="10"/>
      <c r="I15" s="87"/>
      <c r="J15" s="87"/>
      <c r="K15" s="89"/>
      <c r="L15" s="87"/>
      <c r="M15" s="90"/>
      <c r="N15" s="87"/>
    </row>
    <row r="16" spans="1:14" ht="12.75">
      <c r="A16" s="51" t="s">
        <v>12</v>
      </c>
      <c r="B16" s="52"/>
      <c r="C16" s="9">
        <f>D34+D41+D47+D48</f>
        <v>125547.78000000001</v>
      </c>
      <c r="D16" s="10"/>
      <c r="I16" s="87"/>
      <c r="J16" s="87"/>
      <c r="K16" s="89"/>
      <c r="L16" s="87"/>
      <c r="M16" s="90"/>
      <c r="N16" s="87"/>
    </row>
    <row r="17" spans="1:14" ht="12.75">
      <c r="A17" s="51" t="s">
        <v>13</v>
      </c>
      <c r="B17" s="52"/>
      <c r="C17" s="9">
        <f>D50+D52</f>
        <v>32361.120000000003</v>
      </c>
      <c r="D17" s="10"/>
      <c r="I17" s="87"/>
      <c r="J17" s="87"/>
      <c r="K17" s="89"/>
      <c r="L17" s="87"/>
      <c r="M17" s="90"/>
      <c r="N17" s="87"/>
    </row>
    <row r="18" spans="1:14" ht="12.75">
      <c r="A18" s="51" t="s">
        <v>14</v>
      </c>
      <c r="B18" s="52"/>
      <c r="C18" s="9">
        <f>D56</f>
        <v>118780.01999999999</v>
      </c>
      <c r="D18" s="10"/>
      <c r="I18" s="87"/>
      <c r="J18" s="87"/>
      <c r="K18" s="89"/>
      <c r="L18" s="87"/>
      <c r="M18" s="90"/>
      <c r="N18" s="87"/>
    </row>
    <row r="19" spans="1:14" ht="12.75">
      <c r="A19" s="51" t="s">
        <v>15</v>
      </c>
      <c r="B19" s="52"/>
      <c r="C19" s="9">
        <f>D60</f>
        <v>137093.472</v>
      </c>
      <c r="D19" s="10"/>
      <c r="I19" s="87"/>
      <c r="J19" s="87"/>
      <c r="K19" s="89"/>
      <c r="L19" s="87"/>
      <c r="M19" s="90"/>
      <c r="N19" s="87"/>
    </row>
    <row r="20" spans="1:14" ht="12.75">
      <c r="A20" s="49" t="s">
        <v>16</v>
      </c>
      <c r="B20" s="50"/>
      <c r="C20" s="9">
        <f>C12+C14-C22</f>
        <v>380538.69200000004</v>
      </c>
      <c r="D20" s="10">
        <f>D12+D14-D22</f>
        <v>19569.329999999998</v>
      </c>
      <c r="I20" s="87"/>
      <c r="J20" s="87"/>
      <c r="K20" s="89"/>
      <c r="L20" s="87"/>
      <c r="M20" s="90"/>
      <c r="N20" s="87"/>
    </row>
    <row r="21" spans="1:14" ht="12.75">
      <c r="A21" s="49" t="s">
        <v>17</v>
      </c>
      <c r="B21" s="50"/>
      <c r="C21" s="10">
        <v>0</v>
      </c>
      <c r="D21" s="10"/>
      <c r="I21" s="87"/>
      <c r="J21" s="87"/>
      <c r="K21" s="89"/>
      <c r="L21" s="87"/>
      <c r="M21" s="90"/>
      <c r="N21" s="87"/>
    </row>
    <row r="22" spans="1:14" ht="12.75">
      <c r="A22" s="49" t="s">
        <v>18</v>
      </c>
      <c r="B22" s="50"/>
      <c r="C22" s="10">
        <v>33243.7</v>
      </c>
      <c r="D22" s="10">
        <f>897.68+611.8</f>
        <v>1509.48</v>
      </c>
      <c r="I22" s="87"/>
      <c r="J22" s="91"/>
      <c r="K22" s="92"/>
      <c r="L22" s="91"/>
      <c r="M22" s="92"/>
      <c r="N22" s="87"/>
    </row>
    <row r="23" spans="1:14" ht="12.75">
      <c r="A23" s="49" t="s">
        <v>98</v>
      </c>
      <c r="B23" s="50"/>
      <c r="C23" s="9">
        <f>C14</f>
        <v>413782.39200000005</v>
      </c>
      <c r="D23" s="10">
        <v>0</v>
      </c>
      <c r="I23" s="87"/>
      <c r="J23" s="87"/>
      <c r="K23" s="87"/>
      <c r="L23" s="87"/>
      <c r="M23" s="90"/>
      <c r="N23" s="87"/>
    </row>
    <row r="24" spans="1:14" ht="12.75">
      <c r="A24" s="49" t="s">
        <v>19</v>
      </c>
      <c r="B24" s="50"/>
      <c r="C24" s="9">
        <v>0</v>
      </c>
      <c r="D24" s="10">
        <v>0</v>
      </c>
      <c r="I24" s="87"/>
      <c r="J24" s="87"/>
      <c r="K24" s="87"/>
      <c r="L24" s="87"/>
      <c r="M24" s="90"/>
      <c r="N24" s="87"/>
    </row>
    <row r="25" spans="1:14" ht="12.75">
      <c r="A25" s="49" t="s">
        <v>20</v>
      </c>
      <c r="B25" s="50"/>
      <c r="C25" s="9">
        <v>0</v>
      </c>
      <c r="D25" s="10">
        <v>0</v>
      </c>
      <c r="I25" s="87"/>
      <c r="J25" s="87"/>
      <c r="K25" s="87"/>
      <c r="L25" s="87"/>
      <c r="M25" s="90"/>
      <c r="N25" s="87"/>
    </row>
    <row r="26" spans="1:14" ht="25.5" customHeight="1">
      <c r="A26" s="49" t="s">
        <v>99</v>
      </c>
      <c r="B26" s="50"/>
      <c r="C26" s="9">
        <v>0</v>
      </c>
      <c r="D26" s="10">
        <v>0</v>
      </c>
      <c r="I26" s="87"/>
      <c r="J26" s="87"/>
      <c r="K26" s="87"/>
      <c r="L26" s="91"/>
      <c r="M26" s="92"/>
      <c r="N26" s="87"/>
    </row>
    <row r="27" spans="1:14" ht="28.5" customHeight="1">
      <c r="A27" s="49" t="s">
        <v>22</v>
      </c>
      <c r="B27" s="50"/>
      <c r="C27" s="9">
        <v>0</v>
      </c>
      <c r="D27" s="10">
        <v>0</v>
      </c>
      <c r="I27" s="87"/>
      <c r="J27" s="87"/>
      <c r="K27" s="87"/>
      <c r="L27" s="87"/>
      <c r="M27" s="87"/>
      <c r="N27" s="87"/>
    </row>
    <row r="28" spans="1:14" ht="12.75">
      <c r="A28" s="2"/>
      <c r="B28" s="2"/>
      <c r="C28" s="2"/>
      <c r="D28" s="2"/>
      <c r="I28" s="87"/>
      <c r="J28" s="87"/>
      <c r="K28" s="87"/>
      <c r="L28" s="87"/>
      <c r="M28" s="87"/>
      <c r="N28" s="87"/>
    </row>
    <row r="29" spans="1:14" ht="12.75">
      <c r="A29" s="53" t="s">
        <v>23</v>
      </c>
      <c r="B29" s="53"/>
      <c r="C29" s="53"/>
      <c r="D29" s="2"/>
      <c r="I29" s="87"/>
      <c r="J29" s="87"/>
      <c r="K29" s="87"/>
      <c r="L29" s="87"/>
      <c r="M29" s="87"/>
      <c r="N29" s="87"/>
    </row>
    <row r="30" spans="1:4" ht="12.75" customHeight="1">
      <c r="A30" s="53" t="s">
        <v>24</v>
      </c>
      <c r="B30" s="53"/>
      <c r="C30" s="53"/>
      <c r="D30" s="53"/>
    </row>
    <row r="31" spans="1:4" ht="12.75">
      <c r="A31" s="11"/>
      <c r="B31" s="11"/>
      <c r="C31" s="11"/>
      <c r="D31" s="2"/>
    </row>
    <row r="32" spans="1:4" ht="25.5" customHeight="1">
      <c r="A32" s="12" t="s">
        <v>25</v>
      </c>
      <c r="B32" s="54" t="s">
        <v>26</v>
      </c>
      <c r="C32" s="55"/>
      <c r="D32" s="12" t="s">
        <v>27</v>
      </c>
    </row>
    <row r="33" spans="1:4" ht="12.75">
      <c r="A33" s="13" t="s">
        <v>28</v>
      </c>
      <c r="B33" s="56"/>
      <c r="C33" s="57"/>
      <c r="D33" s="14"/>
    </row>
    <row r="34" spans="1:4" ht="12.75">
      <c r="A34" s="15" t="s">
        <v>29</v>
      </c>
      <c r="B34" s="58"/>
      <c r="C34" s="57"/>
      <c r="D34" s="16">
        <f>7354.8*7.8</f>
        <v>57367.44</v>
      </c>
    </row>
    <row r="35" spans="1:4" ht="25.5" customHeight="1">
      <c r="A35" s="17" t="s">
        <v>30</v>
      </c>
      <c r="B35" s="59" t="s">
        <v>31</v>
      </c>
      <c r="C35" s="60"/>
      <c r="D35" s="18"/>
    </row>
    <row r="36" spans="1:4" ht="18" customHeight="1">
      <c r="A36" s="17" t="s">
        <v>32</v>
      </c>
      <c r="B36" s="59" t="s">
        <v>33</v>
      </c>
      <c r="C36" s="60"/>
      <c r="D36" s="18"/>
    </row>
    <row r="37" spans="1:4" ht="13.5" customHeight="1">
      <c r="A37" s="17" t="s">
        <v>34</v>
      </c>
      <c r="B37" s="59" t="s">
        <v>35</v>
      </c>
      <c r="C37" s="60"/>
      <c r="D37" s="18"/>
    </row>
    <row r="38" spans="1:4" ht="22.5" customHeight="1">
      <c r="A38" s="17" t="s">
        <v>36</v>
      </c>
      <c r="B38" s="59" t="s">
        <v>37</v>
      </c>
      <c r="C38" s="60"/>
      <c r="D38" s="18"/>
    </row>
    <row r="39" spans="1:4" ht="23.25" customHeight="1">
      <c r="A39" s="17" t="s">
        <v>38</v>
      </c>
      <c r="B39" s="59" t="s">
        <v>39</v>
      </c>
      <c r="C39" s="60"/>
      <c r="D39" s="18"/>
    </row>
    <row r="40" spans="1:4" ht="24" customHeight="1">
      <c r="A40" s="17" t="s">
        <v>40</v>
      </c>
      <c r="B40" s="59" t="s">
        <v>41</v>
      </c>
      <c r="C40" s="60"/>
      <c r="D40" s="18"/>
    </row>
    <row r="41" spans="1:4" ht="33" customHeight="1">
      <c r="A41" s="17" t="s">
        <v>42</v>
      </c>
      <c r="B41" s="59" t="s">
        <v>43</v>
      </c>
      <c r="C41" s="60"/>
      <c r="D41" s="18">
        <f>7354.8*2.2+14858.04</f>
        <v>31038.600000000002</v>
      </c>
    </row>
    <row r="42" spans="1:4" ht="33" customHeight="1">
      <c r="A42" s="17" t="s">
        <v>44</v>
      </c>
      <c r="B42" s="59" t="s">
        <v>45</v>
      </c>
      <c r="C42" s="60"/>
      <c r="D42" s="18"/>
    </row>
    <row r="43" spans="1:4" ht="40.5" customHeight="1">
      <c r="A43" s="17" t="s">
        <v>46</v>
      </c>
      <c r="B43" s="59" t="s">
        <v>45</v>
      </c>
      <c r="C43" s="60"/>
      <c r="D43" s="18"/>
    </row>
    <row r="44" spans="1:4" ht="25.5" customHeight="1">
      <c r="A44" s="17" t="s">
        <v>47</v>
      </c>
      <c r="B44" s="59" t="s">
        <v>48</v>
      </c>
      <c r="C44" s="60"/>
      <c r="D44" s="18"/>
    </row>
    <row r="45" spans="1:4" ht="25.5">
      <c r="A45" s="17" t="s">
        <v>49</v>
      </c>
      <c r="B45" s="59" t="s">
        <v>50</v>
      </c>
      <c r="C45" s="60"/>
      <c r="D45" s="18"/>
    </row>
    <row r="46" spans="1:4" ht="25.5" customHeight="1">
      <c r="A46" s="17" t="s">
        <v>51</v>
      </c>
      <c r="B46" s="59" t="s">
        <v>31</v>
      </c>
      <c r="C46" s="60"/>
      <c r="D46" s="18"/>
    </row>
    <row r="47" spans="1:4" ht="25.5">
      <c r="A47" s="17" t="s">
        <v>52</v>
      </c>
      <c r="B47" s="59" t="s">
        <v>53</v>
      </c>
      <c r="C47" s="60"/>
      <c r="D47" s="18">
        <f>7354.8*0.06</f>
        <v>441.288</v>
      </c>
    </row>
    <row r="48" spans="1:4" ht="24.75" customHeight="1">
      <c r="A48" s="17" t="s">
        <v>54</v>
      </c>
      <c r="B48" s="59" t="s">
        <v>31</v>
      </c>
      <c r="C48" s="60"/>
      <c r="D48" s="18">
        <f>7354.8*4.99</f>
        <v>36700.452000000005</v>
      </c>
    </row>
    <row r="49" spans="1:4" ht="12.75">
      <c r="A49" s="19" t="s">
        <v>55</v>
      </c>
      <c r="B49" s="59"/>
      <c r="C49" s="60"/>
      <c r="D49" s="18"/>
    </row>
    <row r="50" spans="1:4" ht="24.75" customHeight="1">
      <c r="A50" s="17" t="s">
        <v>56</v>
      </c>
      <c r="B50" s="59" t="s">
        <v>41</v>
      </c>
      <c r="C50" s="60"/>
      <c r="D50" s="18">
        <f>7354.8*0.69</f>
        <v>5074.812</v>
      </c>
    </row>
    <row r="51" spans="1:4" ht="38.25" customHeight="1">
      <c r="A51" s="17" t="s">
        <v>57</v>
      </c>
      <c r="B51" s="59" t="s">
        <v>58</v>
      </c>
      <c r="C51" s="60"/>
      <c r="D51" s="18"/>
    </row>
    <row r="52" spans="1:4" ht="28.5" customHeight="1">
      <c r="A52" s="17" t="s">
        <v>59</v>
      </c>
      <c r="B52" s="59" t="s">
        <v>60</v>
      </c>
      <c r="C52" s="60"/>
      <c r="D52" s="18">
        <f>7354.8*3.71</f>
        <v>27286.308</v>
      </c>
    </row>
    <row r="53" spans="1:4" ht="40.5" customHeight="1">
      <c r="A53" s="17" t="s">
        <v>61</v>
      </c>
      <c r="B53" s="59" t="s">
        <v>62</v>
      </c>
      <c r="C53" s="60"/>
      <c r="D53" s="18"/>
    </row>
    <row r="54" spans="1:4" ht="38.25">
      <c r="A54" s="17" t="s">
        <v>63</v>
      </c>
      <c r="B54" s="59" t="s">
        <v>35</v>
      </c>
      <c r="C54" s="60"/>
      <c r="D54" s="18"/>
    </row>
    <row r="55" spans="1:4" ht="38.25" customHeight="1">
      <c r="A55" s="17" t="s">
        <v>64</v>
      </c>
      <c r="B55" s="59" t="s">
        <v>65</v>
      </c>
      <c r="C55" s="60"/>
      <c r="D55" s="18"/>
    </row>
    <row r="56" spans="1:4" ht="31.5" customHeight="1">
      <c r="A56" s="19" t="s">
        <v>68</v>
      </c>
      <c r="B56" s="59" t="s">
        <v>69</v>
      </c>
      <c r="C56" s="60"/>
      <c r="D56" s="18">
        <f>7354.8*16.15</f>
        <v>118780.01999999999</v>
      </c>
    </row>
    <row r="57" spans="1:4" ht="26.25" customHeight="1">
      <c r="A57" s="17" t="s">
        <v>70</v>
      </c>
      <c r="B57" s="59" t="s">
        <v>69</v>
      </c>
      <c r="C57" s="60"/>
      <c r="D57" s="18"/>
    </row>
    <row r="58" spans="1:4" ht="24.75" customHeight="1">
      <c r="A58" s="17" t="s">
        <v>71</v>
      </c>
      <c r="B58" s="59" t="s">
        <v>69</v>
      </c>
      <c r="C58" s="60"/>
      <c r="D58" s="18"/>
    </row>
    <row r="59" spans="1:4" ht="25.5">
      <c r="A59" s="17" t="s">
        <v>72</v>
      </c>
      <c r="B59" s="59" t="s">
        <v>73</v>
      </c>
      <c r="C59" s="60"/>
      <c r="D59" s="18"/>
    </row>
    <row r="60" spans="1:4" ht="51">
      <c r="A60" s="20" t="s">
        <v>66</v>
      </c>
      <c r="B60" s="59" t="s">
        <v>67</v>
      </c>
      <c r="C60" s="60"/>
      <c r="D60" s="18">
        <f>7354.8*18.64</f>
        <v>137093.472</v>
      </c>
    </row>
    <row r="61" spans="1:4" ht="19.5" customHeight="1">
      <c r="A61" s="19" t="s">
        <v>74</v>
      </c>
      <c r="B61" s="61"/>
      <c r="C61" s="62"/>
      <c r="D61" s="21">
        <f>D34+D49+D60+D56+D41+D48+D40+D47+D50+D52</f>
        <v>413782.392</v>
      </c>
    </row>
    <row r="62" spans="1:3" ht="12.75">
      <c r="A62" s="11"/>
      <c r="B62" s="11"/>
      <c r="C62" s="11"/>
    </row>
    <row r="63" spans="1:3" ht="12.75">
      <c r="A63" s="22" t="s">
        <v>76</v>
      </c>
      <c r="B63" s="22"/>
      <c r="C63" s="22"/>
    </row>
    <row r="64" spans="1:3" ht="12.75">
      <c r="A64" s="22" t="s">
        <v>77</v>
      </c>
      <c r="B64" s="22"/>
      <c r="C64" s="22"/>
    </row>
    <row r="65" spans="1:3" ht="12.75">
      <c r="A65" s="22" t="s">
        <v>78</v>
      </c>
      <c r="B65" s="22"/>
      <c r="C65" s="22"/>
    </row>
    <row r="66" spans="1:3" ht="12.75">
      <c r="A66" s="22" t="s">
        <v>79</v>
      </c>
      <c r="B66" s="22"/>
      <c r="C66" s="22"/>
    </row>
    <row r="67" spans="1:3" ht="12.75">
      <c r="A67" s="22" t="s">
        <v>84</v>
      </c>
      <c r="B67" s="1"/>
      <c r="C67" s="1"/>
    </row>
    <row r="68" spans="1:3" ht="12.75">
      <c r="A68" s="22" t="s">
        <v>85</v>
      </c>
      <c r="B68" s="1"/>
      <c r="C68" s="1"/>
    </row>
    <row r="69" spans="1:3" ht="12.75">
      <c r="A69" s="22" t="s">
        <v>86</v>
      </c>
      <c r="B69" s="1"/>
      <c r="C69" s="1"/>
    </row>
    <row r="70" spans="1:3" ht="12.75">
      <c r="A70" s="22"/>
      <c r="B70" s="1"/>
      <c r="C70" s="1"/>
    </row>
    <row r="71" spans="1:3" ht="12.75">
      <c r="A71" s="1"/>
      <c r="B71" s="1"/>
      <c r="C71" s="1"/>
    </row>
    <row r="72" spans="1:3" ht="12.75">
      <c r="A72" s="22" t="s">
        <v>80</v>
      </c>
      <c r="B72" s="22"/>
      <c r="C72" s="1"/>
    </row>
  </sheetData>
  <mergeCells count="52">
    <mergeCell ref="B58:C58"/>
    <mergeCell ref="B59:C59"/>
    <mergeCell ref="B60:C60"/>
    <mergeCell ref="B61:C61"/>
    <mergeCell ref="B50:C50"/>
    <mergeCell ref="B51:C51"/>
    <mergeCell ref="B52:C52"/>
    <mergeCell ref="B57:C57"/>
    <mergeCell ref="B53:C53"/>
    <mergeCell ref="B54:C54"/>
    <mergeCell ref="B55:C55"/>
    <mergeCell ref="B56:C56"/>
    <mergeCell ref="B46:C46"/>
    <mergeCell ref="B47:C47"/>
    <mergeCell ref="B48:C48"/>
    <mergeCell ref="B49:C49"/>
    <mergeCell ref="B42:C42"/>
    <mergeCell ref="B43:C43"/>
    <mergeCell ref="B44:C44"/>
    <mergeCell ref="B45:C45"/>
    <mergeCell ref="B38:C38"/>
    <mergeCell ref="B39:C39"/>
    <mergeCell ref="B40:C40"/>
    <mergeCell ref="B41:C41"/>
    <mergeCell ref="B34:C34"/>
    <mergeCell ref="B35:C35"/>
    <mergeCell ref="B36:C36"/>
    <mergeCell ref="B37:C37"/>
    <mergeCell ref="A29:C29"/>
    <mergeCell ref="A30:D30"/>
    <mergeCell ref="B32:C32"/>
    <mergeCell ref="B33:C33"/>
    <mergeCell ref="A4:C4"/>
    <mergeCell ref="A5:C5"/>
    <mergeCell ref="A6:C6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72"/>
  <sheetViews>
    <sheetView workbookViewId="0" topLeftCell="A51">
      <selection activeCell="H60" sqref="H60"/>
    </sheetView>
  </sheetViews>
  <sheetFormatPr defaultColWidth="9.140625" defaultRowHeight="12.75"/>
  <cols>
    <col min="1" max="1" width="50.140625" style="0" customWidth="1"/>
    <col min="2" max="2" width="1.28515625" style="0" customWidth="1"/>
    <col min="3" max="3" width="16.28125" style="0" customWidth="1"/>
    <col min="4" max="4" width="15.421875" style="0" customWidth="1"/>
    <col min="5" max="5" width="9.8515625" style="0" customWidth="1"/>
    <col min="6" max="6" width="14.28125" style="0" customWidth="1"/>
    <col min="7" max="7" width="15.00390625" style="0" customWidth="1"/>
    <col min="8" max="8" width="9.421875" style="0" customWidth="1"/>
    <col min="13" max="13" width="9.7109375" style="0" customWidth="1"/>
  </cols>
  <sheetData>
    <row r="1" ht="12.75">
      <c r="M1" s="4"/>
    </row>
    <row r="4" spans="1:4" ht="12.75">
      <c r="A4" s="44" t="s">
        <v>0</v>
      </c>
      <c r="B4" s="44"/>
      <c r="C4" s="44"/>
      <c r="D4" s="1"/>
    </row>
    <row r="5" spans="1:4" ht="12.75">
      <c r="A5" s="44" t="s">
        <v>1</v>
      </c>
      <c r="B5" s="44"/>
      <c r="C5" s="44"/>
      <c r="D5" s="1"/>
    </row>
    <row r="6" spans="1:4" ht="12.75">
      <c r="A6" s="44" t="s">
        <v>2</v>
      </c>
      <c r="B6" s="44"/>
      <c r="C6" s="44"/>
      <c r="D6" s="2"/>
    </row>
    <row r="7" spans="1:4" ht="12.75">
      <c r="A7" s="3"/>
      <c r="B7" s="4"/>
      <c r="C7" s="4"/>
      <c r="D7" s="2"/>
    </row>
    <row r="8" spans="1:4" ht="12.75">
      <c r="A8" s="5" t="s">
        <v>104</v>
      </c>
      <c r="D8" s="2"/>
    </row>
    <row r="9" ht="12.75">
      <c r="D9" s="2"/>
    </row>
    <row r="10" spans="1:4" ht="12.75">
      <c r="A10" t="s">
        <v>105</v>
      </c>
      <c r="D10" s="2"/>
    </row>
    <row r="11" spans="1:4" ht="51">
      <c r="A11" s="45" t="s">
        <v>5</v>
      </c>
      <c r="B11" s="46"/>
      <c r="C11" s="6" t="s">
        <v>6</v>
      </c>
      <c r="D11" s="6" t="s">
        <v>7</v>
      </c>
    </row>
    <row r="12" spans="1:14" ht="12.75">
      <c r="A12" s="47" t="s">
        <v>8</v>
      </c>
      <c r="B12" s="48"/>
      <c r="C12" s="7">
        <v>0</v>
      </c>
      <c r="D12" s="8">
        <v>0</v>
      </c>
      <c r="I12" s="87"/>
      <c r="J12" s="87"/>
      <c r="K12" s="89"/>
      <c r="L12" s="87"/>
      <c r="M12" s="90"/>
      <c r="N12" s="87"/>
    </row>
    <row r="13" spans="1:14" ht="12.75">
      <c r="A13" s="47" t="s">
        <v>9</v>
      </c>
      <c r="B13" s="48"/>
      <c r="C13" s="8"/>
      <c r="D13" s="6"/>
      <c r="I13" s="87"/>
      <c r="J13" s="87"/>
      <c r="K13" s="89"/>
      <c r="L13" s="87"/>
      <c r="M13" s="90"/>
      <c r="N13" s="87"/>
    </row>
    <row r="14" spans="1:14" ht="12.75">
      <c r="A14" s="49" t="s">
        <v>10</v>
      </c>
      <c r="B14" s="50"/>
      <c r="C14" s="9">
        <f>C16+C17+C18+C19</f>
        <v>416347.85599999997</v>
      </c>
      <c r="D14" s="10">
        <f>14298.76+9745.1</f>
        <v>24043.86</v>
      </c>
      <c r="I14" s="87"/>
      <c r="J14" s="87"/>
      <c r="K14" s="89"/>
      <c r="L14" s="87"/>
      <c r="M14" s="90"/>
      <c r="N14" s="87"/>
    </row>
    <row r="15" spans="1:14" ht="12.75">
      <c r="A15" s="49" t="s">
        <v>11</v>
      </c>
      <c r="B15" s="50"/>
      <c r="C15" s="9"/>
      <c r="D15" s="10"/>
      <c r="I15" s="87"/>
      <c r="J15" s="87"/>
      <c r="K15" s="89"/>
      <c r="L15" s="87"/>
      <c r="M15" s="90"/>
      <c r="N15" s="87"/>
    </row>
    <row r="16" spans="1:14" ht="12.75">
      <c r="A16" s="51" t="s">
        <v>12</v>
      </c>
      <c r="B16" s="52"/>
      <c r="C16" s="9">
        <f>D34+D41+D47+D48</f>
        <v>126326.18000000001</v>
      </c>
      <c r="D16" s="10"/>
      <c r="I16" s="87"/>
      <c r="J16" s="87"/>
      <c r="K16" s="89"/>
      <c r="L16" s="87"/>
      <c r="M16" s="90"/>
      <c r="N16" s="87"/>
    </row>
    <row r="17" spans="1:14" ht="12.75">
      <c r="A17" s="51" t="s">
        <v>13</v>
      </c>
      <c r="B17" s="52"/>
      <c r="C17" s="9">
        <f>D50+D52</f>
        <v>32561.759999999995</v>
      </c>
      <c r="D17" s="10"/>
      <c r="I17" s="87"/>
      <c r="J17" s="87"/>
      <c r="K17" s="89"/>
      <c r="L17" s="87"/>
      <c r="M17" s="90"/>
      <c r="N17" s="87"/>
    </row>
    <row r="18" spans="1:14" ht="12.75">
      <c r="A18" s="51" t="s">
        <v>14</v>
      </c>
      <c r="B18" s="52"/>
      <c r="C18" s="9">
        <f>D56</f>
        <v>119516.45999999998</v>
      </c>
      <c r="D18" s="10"/>
      <c r="I18" s="87"/>
      <c r="J18" s="87"/>
      <c r="K18" s="89"/>
      <c r="L18" s="87"/>
      <c r="M18" s="90"/>
      <c r="N18" s="87"/>
    </row>
    <row r="19" spans="1:14" ht="12.75">
      <c r="A19" s="51" t="s">
        <v>15</v>
      </c>
      <c r="B19" s="52"/>
      <c r="C19" s="9">
        <f>D60</f>
        <v>137943.456</v>
      </c>
      <c r="D19" s="10"/>
      <c r="I19" s="87"/>
      <c r="J19" s="87"/>
      <c r="K19" s="89"/>
      <c r="L19" s="87"/>
      <c r="M19" s="90"/>
      <c r="N19" s="87"/>
    </row>
    <row r="20" spans="1:14" ht="12.75">
      <c r="A20" s="49" t="s">
        <v>16</v>
      </c>
      <c r="B20" s="50"/>
      <c r="C20" s="9">
        <f>C12+C14-C22</f>
        <v>382898.046</v>
      </c>
      <c r="D20" s="10">
        <f>D12+D14-D22</f>
        <v>21294.45</v>
      </c>
      <c r="I20" s="87"/>
      <c r="J20" s="87"/>
      <c r="K20" s="89"/>
      <c r="L20" s="87"/>
      <c r="M20" s="90"/>
      <c r="N20" s="87"/>
    </row>
    <row r="21" spans="1:14" ht="12.75">
      <c r="A21" s="49" t="s">
        <v>17</v>
      </c>
      <c r="B21" s="50"/>
      <c r="C21" s="10">
        <v>0</v>
      </c>
      <c r="D21" s="10"/>
      <c r="I21" s="87"/>
      <c r="J21" s="87"/>
      <c r="K21" s="89"/>
      <c r="L21" s="87"/>
      <c r="M21" s="90"/>
      <c r="N21" s="87"/>
    </row>
    <row r="22" spans="1:14" ht="12.75">
      <c r="A22" s="49" t="s">
        <v>18</v>
      </c>
      <c r="B22" s="50"/>
      <c r="C22" s="10">
        <v>33449.81</v>
      </c>
      <c r="D22" s="10">
        <f>1635.06+1114.35</f>
        <v>2749.41</v>
      </c>
      <c r="I22" s="87"/>
      <c r="J22" s="91"/>
      <c r="K22" s="92"/>
      <c r="L22" s="91"/>
      <c r="M22" s="92"/>
      <c r="N22" s="87"/>
    </row>
    <row r="23" spans="1:14" ht="12.75">
      <c r="A23" s="49" t="s">
        <v>98</v>
      </c>
      <c r="B23" s="50"/>
      <c r="C23" s="9">
        <f>C14</f>
        <v>416347.85599999997</v>
      </c>
      <c r="D23" s="10">
        <v>0</v>
      </c>
      <c r="I23" s="87"/>
      <c r="J23" s="87"/>
      <c r="K23" s="87"/>
      <c r="L23" s="87"/>
      <c r="M23" s="90"/>
      <c r="N23" s="87"/>
    </row>
    <row r="24" spans="1:14" ht="12.75">
      <c r="A24" s="49" t="s">
        <v>19</v>
      </c>
      <c r="B24" s="50"/>
      <c r="C24" s="9">
        <v>0</v>
      </c>
      <c r="D24" s="10">
        <v>0</v>
      </c>
      <c r="I24" s="87"/>
      <c r="J24" s="87"/>
      <c r="K24" s="87"/>
      <c r="L24" s="87"/>
      <c r="M24" s="90"/>
      <c r="N24" s="87"/>
    </row>
    <row r="25" spans="1:14" ht="12.75">
      <c r="A25" s="49" t="s">
        <v>20</v>
      </c>
      <c r="B25" s="50"/>
      <c r="C25" s="9">
        <v>0</v>
      </c>
      <c r="D25" s="10">
        <v>0</v>
      </c>
      <c r="I25" s="87"/>
      <c r="J25" s="87"/>
      <c r="K25" s="87"/>
      <c r="L25" s="87"/>
      <c r="M25" s="90"/>
      <c r="N25" s="87"/>
    </row>
    <row r="26" spans="1:14" ht="25.5" customHeight="1">
      <c r="A26" s="49" t="s">
        <v>99</v>
      </c>
      <c r="B26" s="50"/>
      <c r="C26" s="9">
        <v>0</v>
      </c>
      <c r="D26" s="10">
        <v>0</v>
      </c>
      <c r="I26" s="87"/>
      <c r="J26" s="87"/>
      <c r="K26" s="87"/>
      <c r="L26" s="91"/>
      <c r="M26" s="92"/>
      <c r="N26" s="87"/>
    </row>
    <row r="27" spans="1:14" ht="28.5" customHeight="1">
      <c r="A27" s="49" t="s">
        <v>22</v>
      </c>
      <c r="B27" s="50"/>
      <c r="C27" s="9">
        <v>0</v>
      </c>
      <c r="D27" s="10">
        <v>0</v>
      </c>
      <c r="I27" s="87"/>
      <c r="J27" s="87"/>
      <c r="K27" s="87"/>
      <c r="L27" s="87"/>
      <c r="M27" s="87"/>
      <c r="N27" s="87"/>
    </row>
    <row r="28" spans="1:14" ht="12.75">
      <c r="A28" s="2"/>
      <c r="B28" s="2"/>
      <c r="C28" s="2"/>
      <c r="D28" s="2"/>
      <c r="I28" s="87"/>
      <c r="J28" s="87"/>
      <c r="K28" s="87"/>
      <c r="L28" s="87"/>
      <c r="M28" s="87"/>
      <c r="N28" s="87"/>
    </row>
    <row r="29" spans="1:14" ht="12.75">
      <c r="A29" s="53" t="s">
        <v>23</v>
      </c>
      <c r="B29" s="53"/>
      <c r="C29" s="53"/>
      <c r="D29" s="2"/>
      <c r="I29" s="87"/>
      <c r="J29" s="87"/>
      <c r="K29" s="87"/>
      <c r="L29" s="87"/>
      <c r="M29" s="87"/>
      <c r="N29" s="87"/>
    </row>
    <row r="30" spans="1:14" ht="12.75" customHeight="1">
      <c r="A30" s="53" t="s">
        <v>24</v>
      </c>
      <c r="B30" s="53"/>
      <c r="C30" s="53"/>
      <c r="D30" s="53"/>
      <c r="I30" s="87"/>
      <c r="J30" s="87"/>
      <c r="K30" s="87"/>
      <c r="L30" s="87"/>
      <c r="M30" s="87"/>
      <c r="N30" s="87"/>
    </row>
    <row r="31" spans="1:4" ht="12.75">
      <c r="A31" s="11"/>
      <c r="B31" s="11"/>
      <c r="C31" s="11"/>
      <c r="D31" s="2"/>
    </row>
    <row r="32" spans="1:4" ht="25.5" customHeight="1">
      <c r="A32" s="12" t="s">
        <v>25</v>
      </c>
      <c r="B32" s="54" t="s">
        <v>26</v>
      </c>
      <c r="C32" s="55"/>
      <c r="D32" s="12" t="s">
        <v>27</v>
      </c>
    </row>
    <row r="33" spans="1:4" ht="12.75">
      <c r="A33" s="13" t="s">
        <v>28</v>
      </c>
      <c r="B33" s="56"/>
      <c r="C33" s="57"/>
      <c r="D33" s="14"/>
    </row>
    <row r="34" spans="1:4" ht="12.75">
      <c r="A34" s="15" t="s">
        <v>29</v>
      </c>
      <c r="B34" s="58"/>
      <c r="C34" s="57"/>
      <c r="D34" s="16">
        <f>7400.4*7.8</f>
        <v>57723.119999999995</v>
      </c>
    </row>
    <row r="35" spans="1:4" ht="25.5" customHeight="1">
      <c r="A35" s="17" t="s">
        <v>30</v>
      </c>
      <c r="B35" s="59" t="s">
        <v>31</v>
      </c>
      <c r="C35" s="60"/>
      <c r="D35" s="18"/>
    </row>
    <row r="36" spans="1:4" ht="18" customHeight="1">
      <c r="A36" s="17" t="s">
        <v>32</v>
      </c>
      <c r="B36" s="59" t="s">
        <v>33</v>
      </c>
      <c r="C36" s="60"/>
      <c r="D36" s="18"/>
    </row>
    <row r="37" spans="1:4" ht="13.5" customHeight="1">
      <c r="A37" s="17" t="s">
        <v>34</v>
      </c>
      <c r="B37" s="59" t="s">
        <v>35</v>
      </c>
      <c r="C37" s="60"/>
      <c r="D37" s="18"/>
    </row>
    <row r="38" spans="1:4" ht="22.5" customHeight="1">
      <c r="A38" s="17" t="s">
        <v>36</v>
      </c>
      <c r="B38" s="59" t="s">
        <v>37</v>
      </c>
      <c r="C38" s="60"/>
      <c r="D38" s="18"/>
    </row>
    <row r="39" spans="1:4" ht="23.25" customHeight="1">
      <c r="A39" s="17" t="s">
        <v>38</v>
      </c>
      <c r="B39" s="59" t="s">
        <v>39</v>
      </c>
      <c r="C39" s="60"/>
      <c r="D39" s="18"/>
    </row>
    <row r="40" spans="1:4" ht="24" customHeight="1">
      <c r="A40" s="17" t="s">
        <v>40</v>
      </c>
      <c r="B40" s="59" t="s">
        <v>41</v>
      </c>
      <c r="C40" s="60"/>
      <c r="D40" s="18"/>
    </row>
    <row r="41" spans="1:4" ht="33" customHeight="1">
      <c r="A41" s="17" t="s">
        <v>42</v>
      </c>
      <c r="B41" s="59" t="s">
        <v>43</v>
      </c>
      <c r="C41" s="60"/>
      <c r="D41" s="18">
        <f>7400.4*2.2+14950.16</f>
        <v>31231.04</v>
      </c>
    </row>
    <row r="42" spans="1:4" ht="33" customHeight="1">
      <c r="A42" s="17" t="s">
        <v>44</v>
      </c>
      <c r="B42" s="59" t="s">
        <v>45</v>
      </c>
      <c r="C42" s="60"/>
      <c r="D42" s="18"/>
    </row>
    <row r="43" spans="1:4" ht="40.5" customHeight="1">
      <c r="A43" s="17" t="s">
        <v>46</v>
      </c>
      <c r="B43" s="59" t="s">
        <v>45</v>
      </c>
      <c r="C43" s="60"/>
      <c r="D43" s="18"/>
    </row>
    <row r="44" spans="1:4" ht="25.5" customHeight="1">
      <c r="A44" s="17" t="s">
        <v>47</v>
      </c>
      <c r="B44" s="59" t="s">
        <v>48</v>
      </c>
      <c r="C44" s="60"/>
      <c r="D44" s="18"/>
    </row>
    <row r="45" spans="1:4" ht="25.5">
      <c r="A45" s="17" t="s">
        <v>49</v>
      </c>
      <c r="B45" s="59" t="s">
        <v>50</v>
      </c>
      <c r="C45" s="60"/>
      <c r="D45" s="18"/>
    </row>
    <row r="46" spans="1:4" ht="25.5" customHeight="1">
      <c r="A46" s="17" t="s">
        <v>51</v>
      </c>
      <c r="B46" s="59" t="s">
        <v>31</v>
      </c>
      <c r="C46" s="60"/>
      <c r="D46" s="18"/>
    </row>
    <row r="47" spans="1:4" ht="25.5">
      <c r="A47" s="17" t="s">
        <v>52</v>
      </c>
      <c r="B47" s="59" t="s">
        <v>53</v>
      </c>
      <c r="C47" s="60"/>
      <c r="D47" s="18">
        <f>7400.4*0.06</f>
        <v>444.02399999999994</v>
      </c>
    </row>
    <row r="48" spans="1:4" ht="24.75" customHeight="1">
      <c r="A48" s="17" t="s">
        <v>54</v>
      </c>
      <c r="B48" s="59" t="s">
        <v>31</v>
      </c>
      <c r="C48" s="60"/>
      <c r="D48" s="18">
        <f>7400.4*4.99</f>
        <v>36927.996</v>
      </c>
    </row>
    <row r="49" spans="1:4" ht="12.75">
      <c r="A49" s="19" t="s">
        <v>55</v>
      </c>
      <c r="B49" s="59"/>
      <c r="C49" s="60"/>
      <c r="D49" s="18"/>
    </row>
    <row r="50" spans="1:4" ht="24.75" customHeight="1">
      <c r="A50" s="17" t="s">
        <v>56</v>
      </c>
      <c r="B50" s="59" t="s">
        <v>41</v>
      </c>
      <c r="C50" s="60"/>
      <c r="D50" s="18">
        <f>7400.4*0.69</f>
        <v>5106.275999999999</v>
      </c>
    </row>
    <row r="51" spans="1:4" ht="38.25" customHeight="1">
      <c r="A51" s="17" t="s">
        <v>57</v>
      </c>
      <c r="B51" s="59" t="s">
        <v>58</v>
      </c>
      <c r="C51" s="60"/>
      <c r="D51" s="18"/>
    </row>
    <row r="52" spans="1:4" ht="28.5" customHeight="1">
      <c r="A52" s="17" t="s">
        <v>59</v>
      </c>
      <c r="B52" s="59" t="s">
        <v>60</v>
      </c>
      <c r="C52" s="60"/>
      <c r="D52" s="18">
        <f>7400.4*3.71</f>
        <v>27455.483999999997</v>
      </c>
    </row>
    <row r="53" spans="1:4" ht="40.5" customHeight="1">
      <c r="A53" s="17" t="s">
        <v>61</v>
      </c>
      <c r="B53" s="59" t="s">
        <v>62</v>
      </c>
      <c r="C53" s="60"/>
      <c r="D53" s="18"/>
    </row>
    <row r="54" spans="1:4" ht="38.25">
      <c r="A54" s="17" t="s">
        <v>63</v>
      </c>
      <c r="B54" s="59" t="s">
        <v>35</v>
      </c>
      <c r="C54" s="60"/>
      <c r="D54" s="18"/>
    </row>
    <row r="55" spans="1:4" ht="38.25" customHeight="1">
      <c r="A55" s="17" t="s">
        <v>64</v>
      </c>
      <c r="B55" s="59" t="s">
        <v>65</v>
      </c>
      <c r="C55" s="60"/>
      <c r="D55" s="18"/>
    </row>
    <row r="56" spans="1:4" ht="31.5" customHeight="1">
      <c r="A56" s="19" t="s">
        <v>68</v>
      </c>
      <c r="B56" s="59" t="s">
        <v>69</v>
      </c>
      <c r="C56" s="60"/>
      <c r="D56" s="18">
        <f>7400.4*16.15</f>
        <v>119516.45999999998</v>
      </c>
    </row>
    <row r="57" spans="1:4" ht="26.25" customHeight="1">
      <c r="A57" s="17" t="s">
        <v>70</v>
      </c>
      <c r="B57" s="59" t="s">
        <v>69</v>
      </c>
      <c r="C57" s="60"/>
      <c r="D57" s="18"/>
    </row>
    <row r="58" spans="1:4" ht="24.75" customHeight="1">
      <c r="A58" s="17" t="s">
        <v>71</v>
      </c>
      <c r="B58" s="59" t="s">
        <v>69</v>
      </c>
      <c r="C58" s="60"/>
      <c r="D58" s="18"/>
    </row>
    <row r="59" spans="1:4" ht="25.5">
      <c r="A59" s="17" t="s">
        <v>72</v>
      </c>
      <c r="B59" s="59" t="s">
        <v>73</v>
      </c>
      <c r="C59" s="60"/>
      <c r="D59" s="18"/>
    </row>
    <row r="60" spans="1:4" ht="51">
      <c r="A60" s="20" t="s">
        <v>66</v>
      </c>
      <c r="B60" s="59" t="s">
        <v>67</v>
      </c>
      <c r="C60" s="60"/>
      <c r="D60" s="18">
        <f>7400.4*18.64</f>
        <v>137943.456</v>
      </c>
    </row>
    <row r="61" spans="1:4" ht="12.75">
      <c r="A61" s="19" t="s">
        <v>74</v>
      </c>
      <c r="B61" s="61"/>
      <c r="C61" s="62"/>
      <c r="D61" s="21">
        <f>D34+D49+D60+D56+D41+D48+D40+D47+D50+D52</f>
        <v>416347.8559999999</v>
      </c>
    </row>
    <row r="62" spans="1:3" ht="12.75">
      <c r="A62" s="11"/>
      <c r="B62" s="11"/>
      <c r="C62" s="11"/>
    </row>
    <row r="63" spans="1:3" ht="12.75">
      <c r="A63" s="22" t="s">
        <v>76</v>
      </c>
      <c r="B63" s="22"/>
      <c r="C63" s="22"/>
    </row>
    <row r="64" spans="1:3" ht="12.75">
      <c r="A64" s="22" t="s">
        <v>77</v>
      </c>
      <c r="B64" s="22"/>
      <c r="C64" s="22"/>
    </row>
    <row r="65" spans="1:3" ht="12.75">
      <c r="A65" s="22" t="s">
        <v>78</v>
      </c>
      <c r="B65" s="22"/>
      <c r="C65" s="22"/>
    </row>
    <row r="66" spans="1:3" ht="12.75">
      <c r="A66" s="22" t="s">
        <v>79</v>
      </c>
      <c r="B66" s="22"/>
      <c r="C66" s="22"/>
    </row>
    <row r="67" spans="1:3" ht="12.75">
      <c r="A67" s="22" t="s">
        <v>84</v>
      </c>
      <c r="B67" s="1"/>
      <c r="C67" s="1"/>
    </row>
    <row r="68" spans="1:3" ht="12.75">
      <c r="A68" s="22" t="s">
        <v>85</v>
      </c>
      <c r="B68" s="1"/>
      <c r="C68" s="1"/>
    </row>
    <row r="69" spans="1:3" ht="12.75">
      <c r="A69" s="22" t="s">
        <v>86</v>
      </c>
      <c r="B69" s="1"/>
      <c r="C69" s="1"/>
    </row>
    <row r="70" spans="1:3" ht="12.75">
      <c r="A70" s="22"/>
      <c r="B70" s="1"/>
      <c r="C70" s="1"/>
    </row>
    <row r="71" spans="1:3" ht="12.75">
      <c r="A71" s="1"/>
      <c r="B71" s="1"/>
      <c r="C71" s="1"/>
    </row>
    <row r="72" spans="1:3" ht="12.75">
      <c r="A72" s="22" t="s">
        <v>80</v>
      </c>
      <c r="B72" s="22"/>
      <c r="C72" s="1"/>
    </row>
  </sheetData>
  <mergeCells count="52">
    <mergeCell ref="B59:C59"/>
    <mergeCell ref="B60:C60"/>
    <mergeCell ref="B55:C55"/>
    <mergeCell ref="B56:C56"/>
    <mergeCell ref="B57:C57"/>
    <mergeCell ref="B58:C58"/>
    <mergeCell ref="B42:C42"/>
    <mergeCell ref="B43:C43"/>
    <mergeCell ref="B48:C48"/>
    <mergeCell ref="B49:C49"/>
    <mergeCell ref="B38:C38"/>
    <mergeCell ref="B39:C39"/>
    <mergeCell ref="B40:C40"/>
    <mergeCell ref="B41:C41"/>
    <mergeCell ref="A4:C4"/>
    <mergeCell ref="A5:C5"/>
    <mergeCell ref="A6:C6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9:C29"/>
    <mergeCell ref="A30:D30"/>
    <mergeCell ref="B32:C32"/>
    <mergeCell ref="B33:C33"/>
    <mergeCell ref="B34:C34"/>
    <mergeCell ref="B35:C35"/>
    <mergeCell ref="B36:C36"/>
    <mergeCell ref="B37:C37"/>
    <mergeCell ref="B61:C61"/>
    <mergeCell ref="B44:C44"/>
    <mergeCell ref="B45:C45"/>
    <mergeCell ref="B46:C46"/>
    <mergeCell ref="B47:C47"/>
    <mergeCell ref="B50:C50"/>
    <mergeCell ref="B51:C51"/>
    <mergeCell ref="B52:C52"/>
    <mergeCell ref="B53:C53"/>
    <mergeCell ref="B54:C5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Q79"/>
  <sheetViews>
    <sheetView workbookViewId="0" topLeftCell="A47">
      <selection activeCell="G64" sqref="G64"/>
    </sheetView>
  </sheetViews>
  <sheetFormatPr defaultColWidth="9.140625" defaultRowHeight="12.75"/>
  <cols>
    <col min="1" max="1" width="50.140625" style="0" customWidth="1"/>
    <col min="2" max="2" width="1.28515625" style="0" customWidth="1"/>
    <col min="3" max="3" width="16.28125" style="0" customWidth="1"/>
    <col min="4" max="4" width="15.421875" style="0" customWidth="1"/>
    <col min="5" max="5" width="9.8515625" style="0" customWidth="1"/>
    <col min="6" max="6" width="14.28125" style="0" customWidth="1"/>
    <col min="7" max="7" width="15.00390625" style="0" customWidth="1"/>
    <col min="8" max="8" width="9.421875" style="0" customWidth="1"/>
  </cols>
  <sheetData>
    <row r="3" spans="1:9" ht="12.75">
      <c r="A3" s="1"/>
      <c r="B3" s="1"/>
      <c r="C3" s="1"/>
      <c r="D3" s="1"/>
      <c r="E3" s="1"/>
      <c r="F3" s="2"/>
      <c r="G3" s="2"/>
      <c r="H3" s="2"/>
      <c r="I3" s="2"/>
    </row>
    <row r="5" spans="1:4" ht="12.75">
      <c r="A5" s="44" t="s">
        <v>0</v>
      </c>
      <c r="B5" s="44"/>
      <c r="C5" s="44"/>
      <c r="D5" s="1"/>
    </row>
    <row r="6" spans="1:4" ht="12.75">
      <c r="A6" s="44" t="s">
        <v>1</v>
      </c>
      <c r="B6" s="44"/>
      <c r="C6" s="44"/>
      <c r="D6" s="1"/>
    </row>
    <row r="7" spans="1:4" ht="12.75">
      <c r="A7" s="44" t="s">
        <v>2</v>
      </c>
      <c r="B7" s="44"/>
      <c r="C7" s="44"/>
      <c r="D7" s="2"/>
    </row>
    <row r="8" spans="1:4" ht="12.75">
      <c r="A8" s="3"/>
      <c r="B8" s="4"/>
      <c r="C8" s="4"/>
      <c r="D8" s="2"/>
    </row>
    <row r="9" ht="12.75">
      <c r="D9" s="2"/>
    </row>
    <row r="10" spans="1:4" ht="12.75">
      <c r="A10" s="5" t="s">
        <v>87</v>
      </c>
      <c r="D10" s="2"/>
    </row>
    <row r="11" ht="12.75">
      <c r="D11" s="2"/>
    </row>
    <row r="12" spans="1:4" ht="12.75">
      <c r="A12" t="s">
        <v>88</v>
      </c>
      <c r="D12" s="2"/>
    </row>
    <row r="13" spans="1:4" ht="51">
      <c r="A13" s="45" t="s">
        <v>5</v>
      </c>
      <c r="B13" s="46"/>
      <c r="C13" s="6" t="s">
        <v>6</v>
      </c>
      <c r="D13" s="6" t="s">
        <v>7</v>
      </c>
    </row>
    <row r="14" spans="1:4" ht="12.75">
      <c r="A14" s="47" t="s">
        <v>8</v>
      </c>
      <c r="B14" s="48"/>
      <c r="C14" s="7">
        <v>0</v>
      </c>
      <c r="D14" s="8">
        <v>0</v>
      </c>
    </row>
    <row r="15" spans="1:4" ht="12.75">
      <c r="A15" s="47" t="s">
        <v>9</v>
      </c>
      <c r="B15" s="48"/>
      <c r="C15" s="8"/>
      <c r="D15" s="6"/>
    </row>
    <row r="16" spans="1:4" ht="12.75">
      <c r="A16" s="49" t="s">
        <v>10</v>
      </c>
      <c r="B16" s="50"/>
      <c r="C16" s="9">
        <f>C18+C19+C20+C21</f>
        <v>375637.992</v>
      </c>
      <c r="D16" s="10">
        <f>21961.1+14967.25</f>
        <v>36928.35</v>
      </c>
    </row>
    <row r="17" spans="1:4" ht="12.75">
      <c r="A17" s="49" t="s">
        <v>11</v>
      </c>
      <c r="B17" s="50"/>
      <c r="C17" s="9"/>
      <c r="D17" s="10"/>
    </row>
    <row r="18" spans="1:4" ht="12.75">
      <c r="A18" s="51" t="s">
        <v>12</v>
      </c>
      <c r="B18" s="52"/>
      <c r="C18" s="9">
        <f>D36+D43+D49+D50</f>
        <v>113974.2</v>
      </c>
      <c r="D18" s="10"/>
    </row>
    <row r="19" spans="1:4" ht="12.75">
      <c r="A19" s="51" t="s">
        <v>13</v>
      </c>
      <c r="B19" s="52"/>
      <c r="C19" s="9">
        <f>D52+D54</f>
        <v>29377.92</v>
      </c>
      <c r="D19" s="10"/>
    </row>
    <row r="20" spans="1:4" ht="12.75">
      <c r="A20" s="51" t="s">
        <v>14</v>
      </c>
      <c r="B20" s="52"/>
      <c r="C20" s="9">
        <f>D58</f>
        <v>107830.31999999999</v>
      </c>
      <c r="D20" s="10"/>
    </row>
    <row r="21" spans="1:4" ht="12.75">
      <c r="A21" s="51" t="s">
        <v>15</v>
      </c>
      <c r="B21" s="52"/>
      <c r="C21" s="9">
        <f>D62</f>
        <v>124455.55200000001</v>
      </c>
      <c r="D21" s="10"/>
    </row>
    <row r="22" spans="1:4" ht="12.75">
      <c r="A22" s="49" t="s">
        <v>16</v>
      </c>
      <c r="B22" s="50"/>
      <c r="C22" s="9">
        <f>C14+C16-C24</f>
        <v>345458.852</v>
      </c>
      <c r="D22" s="10">
        <f>D14+D16-D24</f>
        <v>34987.59</v>
      </c>
    </row>
    <row r="23" spans="1:4" ht="12.75">
      <c r="A23" s="49" t="s">
        <v>17</v>
      </c>
      <c r="B23" s="50"/>
      <c r="C23" s="10">
        <v>0</v>
      </c>
      <c r="D23" s="10"/>
    </row>
    <row r="24" spans="1:4" ht="12.75">
      <c r="A24" s="49" t="s">
        <v>18</v>
      </c>
      <c r="B24" s="50"/>
      <c r="C24" s="10">
        <v>30179.14</v>
      </c>
      <c r="D24" s="10">
        <f>1154.16+786.6</f>
        <v>1940.7600000000002</v>
      </c>
    </row>
    <row r="25" spans="1:4" ht="12.75">
      <c r="A25" s="49" t="s">
        <v>83</v>
      </c>
      <c r="B25" s="50"/>
      <c r="C25" s="9">
        <f>D63</f>
        <v>375637.992</v>
      </c>
      <c r="D25" s="10">
        <v>0</v>
      </c>
    </row>
    <row r="26" spans="1:4" ht="12.75">
      <c r="A26" s="49" t="s">
        <v>19</v>
      </c>
      <c r="B26" s="50"/>
      <c r="C26" s="9">
        <v>0</v>
      </c>
      <c r="D26" s="10">
        <v>0</v>
      </c>
    </row>
    <row r="27" spans="1:4" ht="12.75">
      <c r="A27" s="49" t="s">
        <v>20</v>
      </c>
      <c r="B27" s="50"/>
      <c r="C27" s="9">
        <v>0</v>
      </c>
      <c r="D27" s="10">
        <v>0</v>
      </c>
    </row>
    <row r="28" spans="1:4" ht="25.5" customHeight="1">
      <c r="A28" s="49" t="s">
        <v>21</v>
      </c>
      <c r="B28" s="50"/>
      <c r="C28" s="9">
        <v>0</v>
      </c>
      <c r="D28" s="10">
        <v>0</v>
      </c>
    </row>
    <row r="29" spans="1:4" ht="28.5" customHeight="1">
      <c r="A29" s="49" t="s">
        <v>22</v>
      </c>
      <c r="B29" s="50"/>
      <c r="C29" s="9">
        <v>0</v>
      </c>
      <c r="D29" s="10">
        <v>0</v>
      </c>
    </row>
    <row r="30" spans="1:4" ht="12.75">
      <c r="A30" s="2"/>
      <c r="B30" s="2"/>
      <c r="C30" s="2"/>
      <c r="D30" s="2"/>
    </row>
    <row r="31" spans="1:4" ht="12.75">
      <c r="A31" s="53" t="s">
        <v>23</v>
      </c>
      <c r="B31" s="53"/>
      <c r="C31" s="53"/>
      <c r="D31" s="2"/>
    </row>
    <row r="32" spans="1:4" ht="12.75" customHeight="1">
      <c r="A32" s="53" t="s">
        <v>24</v>
      </c>
      <c r="B32" s="53"/>
      <c r="C32" s="53"/>
      <c r="D32" s="53"/>
    </row>
    <row r="33" spans="1:4" ht="12.75">
      <c r="A33" s="11"/>
      <c r="B33" s="11"/>
      <c r="C33" s="11"/>
      <c r="D33" s="2"/>
    </row>
    <row r="34" spans="1:4" ht="25.5" customHeight="1">
      <c r="A34" s="12" t="s">
        <v>25</v>
      </c>
      <c r="B34" s="54" t="s">
        <v>26</v>
      </c>
      <c r="C34" s="55"/>
      <c r="D34" s="12" t="s">
        <v>27</v>
      </c>
    </row>
    <row r="35" spans="1:4" ht="12.75">
      <c r="A35" s="13" t="s">
        <v>28</v>
      </c>
      <c r="B35" s="56"/>
      <c r="C35" s="57"/>
      <c r="D35" s="14"/>
    </row>
    <row r="36" spans="1:11" ht="12.75">
      <c r="A36" s="15" t="s">
        <v>29</v>
      </c>
      <c r="B36" s="58"/>
      <c r="C36" s="57"/>
      <c r="D36" s="16">
        <f>6676.8*7.8</f>
        <v>52079.04</v>
      </c>
      <c r="K36" s="2"/>
    </row>
    <row r="37" spans="1:11" ht="25.5" customHeight="1">
      <c r="A37" s="17" t="s">
        <v>30</v>
      </c>
      <c r="B37" s="59" t="s">
        <v>31</v>
      </c>
      <c r="C37" s="60"/>
      <c r="D37" s="18"/>
      <c r="K37" s="2"/>
    </row>
    <row r="38" spans="1:4" ht="18" customHeight="1">
      <c r="A38" s="17" t="s">
        <v>32</v>
      </c>
      <c r="B38" s="59" t="s">
        <v>33</v>
      </c>
      <c r="C38" s="60"/>
      <c r="D38" s="18"/>
    </row>
    <row r="39" spans="1:4" ht="13.5" customHeight="1">
      <c r="A39" s="17" t="s">
        <v>34</v>
      </c>
      <c r="B39" s="59" t="s">
        <v>35</v>
      </c>
      <c r="C39" s="60"/>
      <c r="D39" s="18"/>
    </row>
    <row r="40" spans="1:17" ht="22.5" customHeight="1">
      <c r="A40" s="17" t="s">
        <v>36</v>
      </c>
      <c r="B40" s="59" t="s">
        <v>37</v>
      </c>
      <c r="C40" s="60"/>
      <c r="D40" s="18"/>
      <c r="K40" s="23"/>
      <c r="L40" s="87"/>
      <c r="M40" s="87"/>
      <c r="N40" s="89"/>
      <c r="O40" s="87"/>
      <c r="P40" s="90"/>
      <c r="Q40" s="87"/>
    </row>
    <row r="41" spans="1:17" ht="23.25" customHeight="1">
      <c r="A41" s="17" t="s">
        <v>38</v>
      </c>
      <c r="B41" s="59" t="s">
        <v>39</v>
      </c>
      <c r="C41" s="60"/>
      <c r="D41" s="18"/>
      <c r="K41" s="23"/>
      <c r="L41" s="87"/>
      <c r="M41" s="87"/>
      <c r="N41" s="89"/>
      <c r="O41" s="87"/>
      <c r="P41" s="90"/>
      <c r="Q41" s="87"/>
    </row>
    <row r="42" spans="1:17" ht="24" customHeight="1">
      <c r="A42" s="17" t="s">
        <v>40</v>
      </c>
      <c r="B42" s="59" t="s">
        <v>41</v>
      </c>
      <c r="C42" s="60"/>
      <c r="D42" s="18"/>
      <c r="K42" s="23"/>
      <c r="L42" s="87"/>
      <c r="M42" s="87"/>
      <c r="N42" s="89"/>
      <c r="O42" s="87"/>
      <c r="P42" s="90"/>
      <c r="Q42" s="87"/>
    </row>
    <row r="43" spans="1:17" ht="33" customHeight="1">
      <c r="A43" s="17" t="s">
        <v>42</v>
      </c>
      <c r="B43" s="59" t="s">
        <v>43</v>
      </c>
      <c r="C43" s="60"/>
      <c r="D43" s="18">
        <f>6676.8*2.2+13488.36</f>
        <v>28177.32</v>
      </c>
      <c r="K43" s="23"/>
      <c r="L43" s="87"/>
      <c r="M43" s="87"/>
      <c r="N43" s="89"/>
      <c r="O43" s="87"/>
      <c r="P43" s="90"/>
      <c r="Q43" s="87"/>
    </row>
    <row r="44" spans="1:17" ht="33" customHeight="1">
      <c r="A44" s="17" t="s">
        <v>44</v>
      </c>
      <c r="B44" s="59" t="s">
        <v>45</v>
      </c>
      <c r="C44" s="60"/>
      <c r="D44" s="18"/>
      <c r="K44" s="23"/>
      <c r="L44" s="87"/>
      <c r="M44" s="87"/>
      <c r="N44" s="89"/>
      <c r="O44" s="87"/>
      <c r="P44" s="90"/>
      <c r="Q44" s="87"/>
    </row>
    <row r="45" spans="1:17" ht="40.5" customHeight="1">
      <c r="A45" s="17" t="s">
        <v>46</v>
      </c>
      <c r="B45" s="59" t="s">
        <v>45</v>
      </c>
      <c r="C45" s="60"/>
      <c r="D45" s="18"/>
      <c r="K45" s="23"/>
      <c r="L45" s="87"/>
      <c r="M45" s="87"/>
      <c r="N45" s="89"/>
      <c r="O45" s="87"/>
      <c r="P45" s="90"/>
      <c r="Q45" s="87"/>
    </row>
    <row r="46" spans="1:17" ht="25.5" customHeight="1">
      <c r="A46" s="17" t="s">
        <v>47</v>
      </c>
      <c r="B46" s="59" t="s">
        <v>48</v>
      </c>
      <c r="C46" s="60"/>
      <c r="D46" s="18"/>
      <c r="K46" s="23"/>
      <c r="L46" s="87"/>
      <c r="M46" s="87"/>
      <c r="N46" s="89"/>
      <c r="O46" s="87"/>
      <c r="P46" s="90"/>
      <c r="Q46" s="87"/>
    </row>
    <row r="47" spans="1:17" ht="25.5">
      <c r="A47" s="17" t="s">
        <v>49</v>
      </c>
      <c r="B47" s="59" t="s">
        <v>50</v>
      </c>
      <c r="C47" s="60"/>
      <c r="D47" s="18"/>
      <c r="K47" s="23"/>
      <c r="L47" s="87"/>
      <c r="M47" s="87"/>
      <c r="N47" s="89"/>
      <c r="O47" s="87"/>
      <c r="P47" s="90"/>
      <c r="Q47" s="87"/>
    </row>
    <row r="48" spans="1:17" ht="25.5" customHeight="1">
      <c r="A48" s="17" t="s">
        <v>51</v>
      </c>
      <c r="B48" s="59" t="s">
        <v>31</v>
      </c>
      <c r="C48" s="60"/>
      <c r="D48" s="18"/>
      <c r="K48" s="23"/>
      <c r="L48" s="87"/>
      <c r="M48" s="87"/>
      <c r="N48" s="89"/>
      <c r="O48" s="87"/>
      <c r="P48" s="90"/>
      <c r="Q48" s="87"/>
    </row>
    <row r="49" spans="1:17" ht="25.5">
      <c r="A49" s="17" t="s">
        <v>52</v>
      </c>
      <c r="B49" s="59" t="s">
        <v>53</v>
      </c>
      <c r="C49" s="60"/>
      <c r="D49" s="18">
        <f>6676.8*0.06</f>
        <v>400.608</v>
      </c>
      <c r="L49" s="87"/>
      <c r="M49" s="87"/>
      <c r="N49" s="90"/>
      <c r="O49" s="87"/>
      <c r="P49" s="90"/>
      <c r="Q49" s="87"/>
    </row>
    <row r="50" spans="1:17" ht="24.75" customHeight="1">
      <c r="A50" s="17" t="s">
        <v>54</v>
      </c>
      <c r="B50" s="59" t="s">
        <v>31</v>
      </c>
      <c r="C50" s="60"/>
      <c r="D50" s="18">
        <f>6676.8*4.99</f>
        <v>33317.232</v>
      </c>
      <c r="K50" s="23"/>
      <c r="L50" s="87"/>
      <c r="M50" s="91"/>
      <c r="N50" s="92"/>
      <c r="O50" s="91"/>
      <c r="P50" s="92"/>
      <c r="Q50" s="87"/>
    </row>
    <row r="51" spans="1:17" ht="12.75">
      <c r="A51" s="19" t="s">
        <v>55</v>
      </c>
      <c r="B51" s="59"/>
      <c r="C51" s="60"/>
      <c r="D51" s="18"/>
      <c r="L51" s="87"/>
      <c r="M51" s="87"/>
      <c r="N51" s="87"/>
      <c r="O51" s="87"/>
      <c r="P51" s="90"/>
      <c r="Q51" s="87"/>
    </row>
    <row r="52" spans="1:17" ht="24.75" customHeight="1">
      <c r="A52" s="17" t="s">
        <v>56</v>
      </c>
      <c r="B52" s="59" t="s">
        <v>41</v>
      </c>
      <c r="C52" s="60"/>
      <c r="D52" s="18">
        <f>6676.8*0.69</f>
        <v>4606.992</v>
      </c>
      <c r="L52" s="87"/>
      <c r="M52" s="87"/>
      <c r="N52" s="87"/>
      <c r="O52" s="87"/>
      <c r="P52" s="90"/>
      <c r="Q52" s="87"/>
    </row>
    <row r="53" spans="1:17" ht="38.25" customHeight="1">
      <c r="A53" s="17" t="s">
        <v>57</v>
      </c>
      <c r="B53" s="59" t="s">
        <v>58</v>
      </c>
      <c r="C53" s="60"/>
      <c r="D53" s="18"/>
      <c r="L53" s="87"/>
      <c r="M53" s="87"/>
      <c r="N53" s="87"/>
      <c r="O53" s="87"/>
      <c r="P53" s="90"/>
      <c r="Q53" s="87"/>
    </row>
    <row r="54" spans="1:17" ht="28.5" customHeight="1">
      <c r="A54" s="17" t="s">
        <v>59</v>
      </c>
      <c r="B54" s="59" t="s">
        <v>60</v>
      </c>
      <c r="C54" s="60"/>
      <c r="D54" s="18">
        <f>6676.8*3.71</f>
        <v>24770.928</v>
      </c>
      <c r="L54" s="87"/>
      <c r="M54" s="87"/>
      <c r="N54" s="87"/>
      <c r="O54" s="91"/>
      <c r="P54" s="92"/>
      <c r="Q54" s="87"/>
    </row>
    <row r="55" spans="1:17" ht="40.5" customHeight="1">
      <c r="A55" s="17" t="s">
        <v>61</v>
      </c>
      <c r="B55" s="59" t="s">
        <v>62</v>
      </c>
      <c r="C55" s="60"/>
      <c r="D55" s="18"/>
      <c r="K55" s="88"/>
      <c r="L55" s="87"/>
      <c r="M55" s="87"/>
      <c r="N55" s="87"/>
      <c r="O55" s="87"/>
      <c r="P55" s="87"/>
      <c r="Q55" s="87"/>
    </row>
    <row r="56" spans="1:17" ht="38.25">
      <c r="A56" s="17" t="s">
        <v>63</v>
      </c>
      <c r="B56" s="59" t="s">
        <v>35</v>
      </c>
      <c r="C56" s="60"/>
      <c r="D56" s="18"/>
      <c r="K56" s="87"/>
      <c r="L56" s="87"/>
      <c r="M56" s="87"/>
      <c r="N56" s="87"/>
      <c r="O56" s="87"/>
      <c r="P56" s="87"/>
      <c r="Q56" s="87"/>
    </row>
    <row r="57" spans="1:17" ht="38.25" customHeight="1">
      <c r="A57" s="17" t="s">
        <v>64</v>
      </c>
      <c r="B57" s="59" t="s">
        <v>65</v>
      </c>
      <c r="C57" s="60"/>
      <c r="D57" s="18"/>
      <c r="K57" s="87"/>
      <c r="L57" s="87"/>
      <c r="M57" s="87"/>
      <c r="N57" s="87"/>
      <c r="O57" s="87"/>
      <c r="P57" s="87"/>
      <c r="Q57" s="87"/>
    </row>
    <row r="58" spans="1:17" ht="31.5" customHeight="1">
      <c r="A58" s="19" t="s">
        <v>68</v>
      </c>
      <c r="B58" s="59" t="s">
        <v>69</v>
      </c>
      <c r="C58" s="60"/>
      <c r="D58" s="18">
        <f>6676.8*16.15</f>
        <v>107830.31999999999</v>
      </c>
      <c r="K58" s="86"/>
      <c r="L58" s="87"/>
      <c r="M58" s="87"/>
      <c r="N58" s="87"/>
      <c r="O58" s="87"/>
      <c r="P58" s="87"/>
      <c r="Q58" s="87"/>
    </row>
    <row r="59" spans="1:17" ht="26.25" customHeight="1">
      <c r="A59" s="17" t="s">
        <v>70</v>
      </c>
      <c r="B59" s="59" t="s">
        <v>69</v>
      </c>
      <c r="C59" s="60"/>
      <c r="D59" s="18"/>
      <c r="K59" s="86"/>
      <c r="L59" s="87"/>
      <c r="M59" s="87"/>
      <c r="N59" s="87"/>
      <c r="O59" s="87"/>
      <c r="P59" s="87"/>
      <c r="Q59" s="87"/>
    </row>
    <row r="60" spans="1:17" ht="24.75" customHeight="1">
      <c r="A60" s="17" t="s">
        <v>71</v>
      </c>
      <c r="B60" s="59" t="s">
        <v>69</v>
      </c>
      <c r="C60" s="60"/>
      <c r="D60" s="18"/>
      <c r="K60" s="86"/>
      <c r="L60" s="87"/>
      <c r="M60" s="87"/>
      <c r="N60" s="87"/>
      <c r="O60" s="87"/>
      <c r="P60" s="87"/>
      <c r="Q60" s="87"/>
    </row>
    <row r="61" spans="1:17" ht="25.5">
      <c r="A61" s="17" t="s">
        <v>72</v>
      </c>
      <c r="B61" s="59" t="s">
        <v>73</v>
      </c>
      <c r="C61" s="60"/>
      <c r="D61" s="18"/>
      <c r="K61" s="86"/>
      <c r="L61" s="87"/>
      <c r="M61" s="87"/>
      <c r="N61" s="87"/>
      <c r="O61" s="87"/>
      <c r="P61" s="87"/>
      <c r="Q61" s="87"/>
    </row>
    <row r="62" spans="1:17" ht="40.5" customHeight="1">
      <c r="A62" s="20" t="s">
        <v>66</v>
      </c>
      <c r="B62" s="59" t="s">
        <v>67</v>
      </c>
      <c r="C62" s="60"/>
      <c r="D62" s="18">
        <f>6676.8*18.64</f>
        <v>124455.55200000001</v>
      </c>
      <c r="K62" s="86"/>
      <c r="L62" s="87"/>
      <c r="M62" s="87"/>
      <c r="N62" s="87"/>
      <c r="O62" s="87"/>
      <c r="P62" s="87"/>
      <c r="Q62" s="87"/>
    </row>
    <row r="63" spans="1:17" ht="12.75">
      <c r="A63" s="19" t="s">
        <v>74</v>
      </c>
      <c r="B63" s="61"/>
      <c r="C63" s="62"/>
      <c r="D63" s="21">
        <f>D36+D51+D58+D43+D50+D42+D49+D52+D54+D62</f>
        <v>375637.992</v>
      </c>
      <c r="K63" s="86"/>
      <c r="L63" s="87"/>
      <c r="M63" s="87"/>
      <c r="N63" s="87"/>
      <c r="O63" s="87"/>
      <c r="P63" s="87"/>
      <c r="Q63" s="87"/>
    </row>
    <row r="64" spans="1:17" ht="12.75">
      <c r="A64" s="11"/>
      <c r="B64" s="11"/>
      <c r="C64" s="11"/>
      <c r="K64" s="93"/>
      <c r="L64" s="91"/>
      <c r="M64" s="91"/>
      <c r="N64" s="91"/>
      <c r="O64" s="91"/>
      <c r="P64" s="91"/>
      <c r="Q64" s="87"/>
    </row>
    <row r="65" spans="1:17" ht="12.75">
      <c r="A65" s="22" t="s">
        <v>76</v>
      </c>
      <c r="B65" s="22"/>
      <c r="C65" s="22"/>
      <c r="K65" s="86"/>
      <c r="L65" s="87"/>
      <c r="M65" s="87"/>
      <c r="N65" s="87"/>
      <c r="O65" s="87"/>
      <c r="P65" s="87"/>
      <c r="Q65" s="87"/>
    </row>
    <row r="66" spans="1:17" ht="12.75">
      <c r="A66" s="22" t="s">
        <v>77</v>
      </c>
      <c r="B66" s="22"/>
      <c r="C66" s="22"/>
      <c r="L66" s="87"/>
      <c r="M66" s="87"/>
      <c r="N66" s="87"/>
      <c r="O66" s="87"/>
      <c r="P66" s="87"/>
      <c r="Q66" s="87"/>
    </row>
    <row r="67" spans="1:17" ht="12.75">
      <c r="A67" s="22" t="s">
        <v>78</v>
      </c>
      <c r="B67" s="22"/>
      <c r="C67" s="22"/>
      <c r="L67" s="87"/>
      <c r="M67" s="87"/>
      <c r="N67" s="87"/>
      <c r="O67" s="87"/>
      <c r="P67" s="87"/>
      <c r="Q67" s="87"/>
    </row>
    <row r="68" spans="1:17" ht="12.75">
      <c r="A68" s="22" t="s">
        <v>79</v>
      </c>
      <c r="B68" s="22"/>
      <c r="C68" s="22"/>
      <c r="L68" s="87"/>
      <c r="M68" s="87"/>
      <c r="N68" s="87"/>
      <c r="O68" s="87"/>
      <c r="P68" s="87"/>
      <c r="Q68" s="87"/>
    </row>
    <row r="69" spans="1:17" ht="12.75">
      <c r="A69" s="22" t="s">
        <v>84</v>
      </c>
      <c r="B69" s="1"/>
      <c r="C69" s="1"/>
      <c r="L69" s="87"/>
      <c r="M69" s="87"/>
      <c r="N69" s="87"/>
      <c r="O69" s="87"/>
      <c r="P69" s="87"/>
      <c r="Q69" s="87"/>
    </row>
    <row r="70" spans="1:17" ht="12.75">
      <c r="A70" s="22" t="s">
        <v>85</v>
      </c>
      <c r="B70" s="1"/>
      <c r="C70" s="1"/>
      <c r="L70" s="87"/>
      <c r="M70" s="87"/>
      <c r="N70" s="87"/>
      <c r="O70" s="87"/>
      <c r="P70" s="87"/>
      <c r="Q70" s="87"/>
    </row>
    <row r="71" spans="1:17" ht="12.75">
      <c r="A71" s="22" t="s">
        <v>86</v>
      </c>
      <c r="B71" s="1"/>
      <c r="C71" s="1"/>
      <c r="L71" s="87"/>
      <c r="M71" s="87"/>
      <c r="N71" s="87"/>
      <c r="O71" s="87"/>
      <c r="P71" s="87"/>
      <c r="Q71" s="87"/>
    </row>
    <row r="72" spans="1:17" ht="12.75">
      <c r="A72" s="22"/>
      <c r="B72" s="1"/>
      <c r="C72" s="1"/>
      <c r="L72" s="87"/>
      <c r="M72" s="87"/>
      <c r="N72" s="87"/>
      <c r="O72" s="87"/>
      <c r="P72" s="87"/>
      <c r="Q72" s="87"/>
    </row>
    <row r="73" spans="1:17" ht="12.75">
      <c r="A73" s="22"/>
      <c r="B73" s="1"/>
      <c r="C73" s="1"/>
      <c r="L73" s="87"/>
      <c r="M73" s="87"/>
      <c r="N73" s="87"/>
      <c r="O73" s="87"/>
      <c r="P73" s="87"/>
      <c r="Q73" s="87"/>
    </row>
    <row r="74" spans="1:17" ht="12.75">
      <c r="A74" s="22" t="s">
        <v>80</v>
      </c>
      <c r="B74" s="22"/>
      <c r="C74" s="1"/>
      <c r="L74" s="87"/>
      <c r="M74" s="87"/>
      <c r="N74" s="87"/>
      <c r="O74" s="87"/>
      <c r="P74" s="87"/>
      <c r="Q74" s="87"/>
    </row>
    <row r="75" spans="12:17" ht="12.75">
      <c r="L75" s="87"/>
      <c r="M75" s="87"/>
      <c r="N75" s="87"/>
      <c r="O75" s="87"/>
      <c r="P75" s="87"/>
      <c r="Q75" s="87"/>
    </row>
    <row r="76" spans="12:17" ht="12.75">
      <c r="L76" s="87"/>
      <c r="M76" s="87"/>
      <c r="N76" s="87"/>
      <c r="O76" s="87"/>
      <c r="P76" s="87"/>
      <c r="Q76" s="87"/>
    </row>
    <row r="77" spans="12:17" ht="12.75">
      <c r="L77" s="87"/>
      <c r="M77" s="87"/>
      <c r="N77" s="87"/>
      <c r="O77" s="87"/>
      <c r="P77" s="87"/>
      <c r="Q77" s="87"/>
    </row>
    <row r="78" spans="12:17" ht="12.75">
      <c r="L78" s="87"/>
      <c r="M78" s="87"/>
      <c r="N78" s="87"/>
      <c r="O78" s="87"/>
      <c r="P78" s="87"/>
      <c r="Q78" s="87"/>
    </row>
    <row r="79" spans="12:17" ht="12.75">
      <c r="L79" s="87"/>
      <c r="M79" s="87"/>
      <c r="N79" s="87"/>
      <c r="O79" s="87"/>
      <c r="P79" s="87"/>
      <c r="Q79" s="87"/>
    </row>
  </sheetData>
  <mergeCells count="52">
    <mergeCell ref="B56:C56"/>
    <mergeCell ref="B57:C57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48:C48"/>
    <mergeCell ref="B49:C49"/>
    <mergeCell ref="B50:C50"/>
    <mergeCell ref="B51:C51"/>
    <mergeCell ref="B40:C40"/>
    <mergeCell ref="B41:C41"/>
    <mergeCell ref="B46:C46"/>
    <mergeCell ref="B47:C47"/>
    <mergeCell ref="B42:C42"/>
    <mergeCell ref="B43:C43"/>
    <mergeCell ref="B44:C44"/>
    <mergeCell ref="B45:C45"/>
    <mergeCell ref="B36:C36"/>
    <mergeCell ref="B37:C37"/>
    <mergeCell ref="B38:C38"/>
    <mergeCell ref="B39:C39"/>
    <mergeCell ref="A5:C5"/>
    <mergeCell ref="A6:C6"/>
    <mergeCell ref="A7:C7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1:C31"/>
    <mergeCell ref="A32:D32"/>
    <mergeCell ref="B34:C34"/>
    <mergeCell ref="B35:C3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G81"/>
  <sheetViews>
    <sheetView workbookViewId="0" topLeftCell="A49">
      <selection activeCell="H64" sqref="H64"/>
    </sheetView>
  </sheetViews>
  <sheetFormatPr defaultColWidth="9.140625" defaultRowHeight="12.75"/>
  <cols>
    <col min="1" max="1" width="48.140625" style="0" customWidth="1"/>
    <col min="2" max="2" width="16.421875" style="0" hidden="1" customWidth="1"/>
    <col min="3" max="3" width="17.57421875" style="0" customWidth="1"/>
    <col min="4" max="4" width="15.140625" style="0" customWidth="1"/>
    <col min="5" max="5" width="13.28125" style="0" customWidth="1"/>
    <col min="7" max="7" width="11.140625" style="0" customWidth="1"/>
  </cols>
  <sheetData>
    <row r="4" spans="1:3" ht="12.75">
      <c r="A4" s="24" t="s">
        <v>0</v>
      </c>
      <c r="B4" s="4"/>
      <c r="C4" s="4"/>
    </row>
    <row r="5" spans="1:3" ht="12.75">
      <c r="A5" s="24" t="s">
        <v>106</v>
      </c>
      <c r="B5" s="4"/>
      <c r="C5" s="4"/>
    </row>
    <row r="6" spans="1:3" ht="12.75">
      <c r="A6" s="24" t="s">
        <v>124</v>
      </c>
      <c r="B6" s="4"/>
      <c r="C6" s="4"/>
    </row>
    <row r="7" spans="1:3" ht="12.75">
      <c r="A7" s="3"/>
      <c r="B7" s="4"/>
      <c r="C7" s="4"/>
    </row>
    <row r="8" ht="12.75">
      <c r="A8" s="5" t="s">
        <v>127</v>
      </c>
    </row>
    <row r="10" ht="12.75">
      <c r="A10" t="s">
        <v>128</v>
      </c>
    </row>
    <row r="11" spans="1:5" ht="38.25">
      <c r="A11" s="45" t="s">
        <v>5</v>
      </c>
      <c r="B11" s="46"/>
      <c r="C11" s="6" t="s">
        <v>107</v>
      </c>
      <c r="D11" s="6" t="s">
        <v>7</v>
      </c>
      <c r="E11" s="26" t="s">
        <v>117</v>
      </c>
    </row>
    <row r="12" spans="1:5" ht="12.75">
      <c r="A12" s="47" t="s">
        <v>8</v>
      </c>
      <c r="B12" s="48"/>
      <c r="C12" s="7">
        <v>0</v>
      </c>
      <c r="D12" s="7">
        <v>0</v>
      </c>
      <c r="E12" s="7">
        <v>0</v>
      </c>
    </row>
    <row r="13" spans="1:5" ht="12.75">
      <c r="A13" s="47" t="s">
        <v>9</v>
      </c>
      <c r="B13" s="48"/>
      <c r="C13" s="6"/>
      <c r="D13" s="6"/>
      <c r="E13" s="7">
        <v>142257</v>
      </c>
    </row>
    <row r="14" spans="1:5" ht="12.75">
      <c r="A14" s="49" t="s">
        <v>125</v>
      </c>
      <c r="B14" s="50"/>
      <c r="C14" s="9">
        <f>C16+C17+C18+C19</f>
        <v>538950.044</v>
      </c>
      <c r="D14" s="9">
        <f>31418.8+21413</f>
        <v>52831.8</v>
      </c>
      <c r="E14" s="9">
        <v>57477.6</v>
      </c>
    </row>
    <row r="15" spans="1:5" ht="12.75">
      <c r="A15" s="49" t="s">
        <v>11</v>
      </c>
      <c r="B15" s="50"/>
      <c r="C15" s="10"/>
      <c r="D15" s="10"/>
      <c r="E15" s="9"/>
    </row>
    <row r="16" spans="1:5" ht="12.75">
      <c r="A16" s="51" t="s">
        <v>12</v>
      </c>
      <c r="B16" s="52"/>
      <c r="C16" s="9">
        <f>D34+D40+D41+D47+D48+D49</f>
        <v>166590.992</v>
      </c>
      <c r="D16" s="10"/>
      <c r="E16" s="9"/>
    </row>
    <row r="17" spans="1:5" ht="12.75">
      <c r="A17" s="51" t="s">
        <v>13</v>
      </c>
      <c r="B17" s="52"/>
      <c r="C17" s="9">
        <f>D53+D51</f>
        <v>39084.768</v>
      </c>
      <c r="D17" s="10"/>
      <c r="E17" s="9"/>
    </row>
    <row r="18" spans="1:5" ht="12.75">
      <c r="A18" s="51" t="s">
        <v>14</v>
      </c>
      <c r="B18" s="52"/>
      <c r="C18" s="9">
        <f>D61</f>
        <v>154710.53999999998</v>
      </c>
      <c r="D18" s="10"/>
      <c r="E18" s="9"/>
    </row>
    <row r="19" spans="1:5" ht="12.75">
      <c r="A19" s="51" t="s">
        <v>15</v>
      </c>
      <c r="B19" s="52"/>
      <c r="C19" s="9">
        <f>D65</f>
        <v>178563.744</v>
      </c>
      <c r="D19" s="10"/>
      <c r="E19" s="9"/>
    </row>
    <row r="20" spans="1:5" ht="12.75">
      <c r="A20" s="49" t="s">
        <v>16</v>
      </c>
      <c r="B20" s="50"/>
      <c r="C20" s="9">
        <f>C12+C14-C22</f>
        <v>495650.254</v>
      </c>
      <c r="D20" s="10">
        <f>D12+D14-D22</f>
        <v>47602.53</v>
      </c>
      <c r="E20" s="9">
        <f>E12+E14-E22</f>
        <v>52687.799999999996</v>
      </c>
    </row>
    <row r="21" spans="1:5" ht="12.75">
      <c r="A21" s="49" t="s">
        <v>17</v>
      </c>
      <c r="B21" s="50"/>
      <c r="C21" s="10"/>
      <c r="D21" s="10"/>
      <c r="E21" s="10"/>
    </row>
    <row r="22" spans="1:5" ht="12.75">
      <c r="A22" s="49" t="s">
        <v>18</v>
      </c>
      <c r="B22" s="50"/>
      <c r="C22" s="9">
        <v>43299.79</v>
      </c>
      <c r="D22" s="9">
        <f>3109.82+2119.45</f>
        <v>5229.27</v>
      </c>
      <c r="E22" s="10">
        <v>4789.8</v>
      </c>
    </row>
    <row r="23" spans="1:5" ht="12.75">
      <c r="A23" s="49" t="s">
        <v>83</v>
      </c>
      <c r="B23" s="50"/>
      <c r="C23" s="9">
        <f>D66</f>
        <v>538950.044</v>
      </c>
      <c r="D23" s="9"/>
      <c r="E23" s="9"/>
    </row>
    <row r="24" spans="1:5" ht="12.75">
      <c r="A24" s="49" t="s">
        <v>19</v>
      </c>
      <c r="B24" s="50"/>
      <c r="C24" s="9">
        <v>0</v>
      </c>
      <c r="D24" s="9">
        <v>0</v>
      </c>
      <c r="E24" s="9">
        <v>0</v>
      </c>
    </row>
    <row r="25" spans="1:5" ht="12.75">
      <c r="A25" s="49" t="s">
        <v>20</v>
      </c>
      <c r="B25" s="50"/>
      <c r="C25" s="9">
        <v>0</v>
      </c>
      <c r="D25" s="9">
        <v>0</v>
      </c>
      <c r="E25" s="9">
        <f>E13+E20</f>
        <v>194944.8</v>
      </c>
    </row>
    <row r="26" spans="1:5" ht="31.5" customHeight="1">
      <c r="A26" s="49" t="s">
        <v>99</v>
      </c>
      <c r="B26" s="50"/>
      <c r="C26" s="9">
        <v>0</v>
      </c>
      <c r="D26" s="9">
        <v>0</v>
      </c>
      <c r="E26" s="9">
        <v>0</v>
      </c>
    </row>
    <row r="27" spans="1:5" ht="27.75" customHeight="1">
      <c r="A27" s="49" t="s">
        <v>22</v>
      </c>
      <c r="B27" s="50"/>
      <c r="C27" s="9">
        <v>0</v>
      </c>
      <c r="D27" s="9">
        <v>0</v>
      </c>
      <c r="E27" s="9">
        <v>0</v>
      </c>
    </row>
    <row r="28" spans="1:4" ht="12.75">
      <c r="A28" s="2"/>
      <c r="B28" s="2"/>
      <c r="C28" s="2"/>
      <c r="D28" s="2"/>
    </row>
    <row r="29" spans="1:4" ht="12.75">
      <c r="A29" s="67" t="s">
        <v>23</v>
      </c>
      <c r="B29" s="67"/>
      <c r="C29" s="67"/>
      <c r="D29" s="2"/>
    </row>
    <row r="30" spans="1:4" ht="12.75">
      <c r="A30" s="53" t="s">
        <v>24</v>
      </c>
      <c r="B30" s="53"/>
      <c r="C30" s="53"/>
      <c r="D30" s="53"/>
    </row>
    <row r="31" spans="1:4" ht="12.75">
      <c r="A31" s="2"/>
      <c r="B31" s="2"/>
      <c r="C31" s="2"/>
      <c r="D31" s="2"/>
    </row>
    <row r="32" spans="1:4" ht="12.75">
      <c r="A32" s="68" t="s">
        <v>25</v>
      </c>
      <c r="B32" s="69"/>
      <c r="C32" s="26" t="s">
        <v>26</v>
      </c>
      <c r="D32" s="26" t="s">
        <v>27</v>
      </c>
    </row>
    <row r="33" spans="1:4" ht="12.75">
      <c r="A33" s="65" t="s">
        <v>28</v>
      </c>
      <c r="B33" s="65"/>
      <c r="C33" s="26"/>
      <c r="D33" s="26"/>
    </row>
    <row r="34" spans="1:7" ht="12.75">
      <c r="A34" s="65" t="s">
        <v>29</v>
      </c>
      <c r="B34" s="65"/>
      <c r="C34" s="26"/>
      <c r="D34" s="9">
        <f>9579.6*6.63</f>
        <v>63512.748</v>
      </c>
      <c r="G34" s="2"/>
    </row>
    <row r="35" spans="1:7" ht="12.75">
      <c r="A35" s="49" t="s">
        <v>30</v>
      </c>
      <c r="B35" s="66"/>
      <c r="C35" s="26" t="s">
        <v>31</v>
      </c>
      <c r="D35" s="9"/>
      <c r="G35" s="2"/>
    </row>
    <row r="36" spans="1:7" ht="12.75">
      <c r="A36" s="49" t="s">
        <v>32</v>
      </c>
      <c r="B36" s="50"/>
      <c r="C36" s="26" t="s">
        <v>33</v>
      </c>
      <c r="D36" s="9"/>
      <c r="G36" s="2"/>
    </row>
    <row r="37" spans="1:4" ht="12.75">
      <c r="A37" s="49" t="s">
        <v>34</v>
      </c>
      <c r="B37" s="50"/>
      <c r="C37" s="26" t="s">
        <v>35</v>
      </c>
      <c r="D37" s="9"/>
    </row>
    <row r="38" spans="1:4" ht="12.75">
      <c r="A38" s="49" t="s">
        <v>36</v>
      </c>
      <c r="B38" s="50"/>
      <c r="C38" s="26" t="s">
        <v>37</v>
      </c>
      <c r="D38" s="9"/>
    </row>
    <row r="39" spans="1:4" ht="12.75">
      <c r="A39" s="49" t="s">
        <v>38</v>
      </c>
      <c r="B39" s="50"/>
      <c r="C39" s="26" t="s">
        <v>39</v>
      </c>
      <c r="D39" s="9"/>
    </row>
    <row r="40" spans="1:4" ht="12.75">
      <c r="A40" s="49" t="s">
        <v>40</v>
      </c>
      <c r="B40" s="50"/>
      <c r="C40" s="26" t="s">
        <v>41</v>
      </c>
      <c r="D40" s="9"/>
    </row>
    <row r="41" spans="1:4" ht="12.75">
      <c r="A41" s="47" t="s">
        <v>42</v>
      </c>
      <c r="B41" s="48"/>
      <c r="C41" s="26" t="s">
        <v>43</v>
      </c>
      <c r="D41" s="9">
        <f>9579.6*2.2+19352.54</f>
        <v>40427.66</v>
      </c>
    </row>
    <row r="42" spans="1:4" ht="25.5">
      <c r="A42" s="49" t="s">
        <v>44</v>
      </c>
      <c r="B42" s="50"/>
      <c r="C42" s="26" t="s">
        <v>45</v>
      </c>
      <c r="D42" s="9"/>
    </row>
    <row r="43" spans="1:4" ht="25.5">
      <c r="A43" s="49" t="s">
        <v>46</v>
      </c>
      <c r="B43" s="50"/>
      <c r="C43" s="26" t="s">
        <v>45</v>
      </c>
      <c r="D43" s="9"/>
    </row>
    <row r="44" spans="1:4" ht="25.5">
      <c r="A44" s="49" t="s">
        <v>47</v>
      </c>
      <c r="B44" s="50"/>
      <c r="C44" s="26" t="s">
        <v>48</v>
      </c>
      <c r="D44" s="9"/>
    </row>
    <row r="45" spans="1:4" ht="12.75">
      <c r="A45" s="49" t="s">
        <v>49</v>
      </c>
      <c r="B45" s="50"/>
      <c r="C45" s="26" t="s">
        <v>50</v>
      </c>
      <c r="D45" s="9"/>
    </row>
    <row r="46" spans="1:4" ht="27" customHeight="1">
      <c r="A46" s="49" t="s">
        <v>51</v>
      </c>
      <c r="B46" s="50"/>
      <c r="C46" s="26" t="s">
        <v>31</v>
      </c>
      <c r="D46" s="9"/>
    </row>
    <row r="47" spans="1:4" ht="12.75">
      <c r="A47" s="49" t="s">
        <v>52</v>
      </c>
      <c r="B47" s="50"/>
      <c r="C47" s="26" t="s">
        <v>53</v>
      </c>
      <c r="D47" s="9">
        <f>9579.6*0.06</f>
        <v>574.776</v>
      </c>
    </row>
    <row r="48" spans="1:4" ht="12.75">
      <c r="A48" s="49" t="s">
        <v>54</v>
      </c>
      <c r="B48" s="50"/>
      <c r="C48" s="26" t="s">
        <v>31</v>
      </c>
      <c r="D48" s="9">
        <f>9579.6*4.99</f>
        <v>47802.204000000005</v>
      </c>
    </row>
    <row r="49" spans="1:4" ht="27.75" customHeight="1">
      <c r="A49" s="49" t="s">
        <v>108</v>
      </c>
      <c r="B49" s="50"/>
      <c r="C49" s="26" t="s">
        <v>109</v>
      </c>
      <c r="D49" s="9">
        <f>9579.6*1.49</f>
        <v>14273.604000000001</v>
      </c>
    </row>
    <row r="50" spans="1:4" ht="45" customHeight="1">
      <c r="A50" s="49" t="s">
        <v>110</v>
      </c>
      <c r="B50" s="50"/>
      <c r="C50" s="26" t="s">
        <v>118</v>
      </c>
      <c r="D50" s="9"/>
    </row>
    <row r="51" spans="1:4" ht="31.5" customHeight="1">
      <c r="A51" s="49" t="s">
        <v>119</v>
      </c>
      <c r="B51" s="50"/>
      <c r="C51" s="26" t="s">
        <v>62</v>
      </c>
      <c r="D51" s="9">
        <f>9579.6*0.37</f>
        <v>3544.452</v>
      </c>
    </row>
    <row r="52" spans="1:4" ht="25.5">
      <c r="A52" s="49" t="s">
        <v>61</v>
      </c>
      <c r="B52" s="50"/>
      <c r="C52" s="26" t="s">
        <v>62</v>
      </c>
      <c r="D52" s="9"/>
    </row>
    <row r="53" spans="1:4" ht="12.75">
      <c r="A53" s="61" t="s">
        <v>120</v>
      </c>
      <c r="B53" s="62"/>
      <c r="C53" s="26"/>
      <c r="D53" s="9">
        <f>9579.6*3.71</f>
        <v>35540.316</v>
      </c>
    </row>
    <row r="54" spans="1:4" ht="12.75">
      <c r="A54" s="49" t="s">
        <v>121</v>
      </c>
      <c r="B54" s="50"/>
      <c r="C54" s="26"/>
      <c r="D54" s="9"/>
    </row>
    <row r="55" spans="1:4" ht="12.75">
      <c r="A55" s="49" t="s">
        <v>122</v>
      </c>
      <c r="B55" s="50"/>
      <c r="C55" s="26"/>
      <c r="D55" s="9"/>
    </row>
    <row r="56" spans="1:4" ht="12.75">
      <c r="A56" s="49" t="s">
        <v>123</v>
      </c>
      <c r="B56" s="50"/>
      <c r="C56" s="26"/>
      <c r="D56" s="9"/>
    </row>
    <row r="57" spans="1:4" ht="27.75" customHeight="1">
      <c r="A57" s="49" t="s">
        <v>59</v>
      </c>
      <c r="B57" s="50"/>
      <c r="C57" s="26" t="s">
        <v>112</v>
      </c>
      <c r="D57" s="10"/>
    </row>
    <row r="58" spans="1:4" ht="27" customHeight="1">
      <c r="A58" s="49" t="s">
        <v>63</v>
      </c>
      <c r="B58" s="50"/>
      <c r="C58" s="26" t="s">
        <v>35</v>
      </c>
      <c r="D58" s="9"/>
    </row>
    <row r="59" spans="1:4" ht="24.75" customHeight="1">
      <c r="A59" s="49" t="s">
        <v>113</v>
      </c>
      <c r="B59" s="50"/>
      <c r="C59" s="26" t="s">
        <v>111</v>
      </c>
      <c r="D59" s="9">
        <v>957.1</v>
      </c>
    </row>
    <row r="60" spans="1:4" ht="12.75">
      <c r="A60" s="49" t="s">
        <v>64</v>
      </c>
      <c r="B60" s="50"/>
      <c r="C60" s="26" t="s">
        <v>114</v>
      </c>
      <c r="D60" s="9"/>
    </row>
    <row r="61" spans="1:4" ht="24" customHeight="1">
      <c r="A61" s="61" t="s">
        <v>68</v>
      </c>
      <c r="B61" s="62"/>
      <c r="C61" s="26" t="s">
        <v>69</v>
      </c>
      <c r="D61" s="9">
        <f>9579.6*16.15</f>
        <v>154710.53999999998</v>
      </c>
    </row>
    <row r="62" spans="1:4" ht="12.75">
      <c r="A62" s="49" t="s">
        <v>70</v>
      </c>
      <c r="B62" s="50"/>
      <c r="C62" s="26" t="s">
        <v>69</v>
      </c>
      <c r="D62" s="10"/>
    </row>
    <row r="63" spans="1:4" ht="12.75">
      <c r="A63" s="49" t="s">
        <v>71</v>
      </c>
      <c r="B63" s="50"/>
      <c r="C63" s="26" t="s">
        <v>69</v>
      </c>
      <c r="D63" s="10"/>
    </row>
    <row r="64" spans="1:4" ht="12.75">
      <c r="A64" s="49" t="s">
        <v>72</v>
      </c>
      <c r="B64" s="50"/>
      <c r="C64" s="26" t="s">
        <v>73</v>
      </c>
      <c r="D64" s="10"/>
    </row>
    <row r="65" spans="1:4" ht="40.5" customHeight="1">
      <c r="A65" s="61" t="s">
        <v>115</v>
      </c>
      <c r="B65" s="62"/>
      <c r="C65" s="26" t="s">
        <v>67</v>
      </c>
      <c r="D65" s="9">
        <f>9579.6*18.64</f>
        <v>178563.744</v>
      </c>
    </row>
    <row r="66" spans="1:4" ht="12.75">
      <c r="A66" s="63" t="s">
        <v>74</v>
      </c>
      <c r="B66" s="64"/>
      <c r="C66" s="19"/>
      <c r="D66" s="21">
        <f>D34+D41+D47+D48+D49+D51+D53+D61+D65</f>
        <v>538950.044</v>
      </c>
    </row>
    <row r="67" spans="1:4" ht="12.75">
      <c r="A67" s="42" t="s">
        <v>169</v>
      </c>
      <c r="B67" s="12"/>
      <c r="C67" s="17" t="s">
        <v>170</v>
      </c>
      <c r="D67" s="18">
        <v>2489</v>
      </c>
    </row>
    <row r="68" spans="1:4" ht="12.75">
      <c r="A68" s="42" t="s">
        <v>171</v>
      </c>
      <c r="B68" s="12"/>
      <c r="C68" s="17" t="s">
        <v>162</v>
      </c>
      <c r="D68" s="18">
        <v>450</v>
      </c>
    </row>
    <row r="69" spans="1:4" ht="12.75">
      <c r="A69" s="42" t="s">
        <v>172</v>
      </c>
      <c r="B69" s="12"/>
      <c r="C69" s="17" t="s">
        <v>35</v>
      </c>
      <c r="D69" s="18">
        <v>900</v>
      </c>
    </row>
    <row r="70" spans="1:4" ht="12.75">
      <c r="A70" s="2"/>
      <c r="B70" s="2"/>
      <c r="C70" s="2"/>
      <c r="D70" s="2"/>
    </row>
    <row r="71" spans="1:4" ht="12.75">
      <c r="A71" s="2"/>
      <c r="B71" s="2"/>
      <c r="C71" s="2"/>
      <c r="D71" s="2"/>
    </row>
    <row r="72" spans="1:4" ht="12.75">
      <c r="A72" s="22" t="s">
        <v>76</v>
      </c>
      <c r="B72" s="22"/>
      <c r="C72" s="22"/>
      <c r="D72" s="2"/>
    </row>
    <row r="73" spans="1:4" ht="12.75">
      <c r="A73" s="22" t="s">
        <v>77</v>
      </c>
      <c r="B73" s="22"/>
      <c r="C73" s="22"/>
      <c r="D73" s="2"/>
    </row>
    <row r="74" spans="1:4" ht="12.75">
      <c r="A74" s="22" t="s">
        <v>129</v>
      </c>
      <c r="B74" s="22"/>
      <c r="C74" s="22"/>
      <c r="D74" s="2"/>
    </row>
    <row r="75" spans="1:4" ht="12.75">
      <c r="A75" s="22" t="s">
        <v>126</v>
      </c>
      <c r="B75" s="22"/>
      <c r="C75" s="22"/>
      <c r="D75" s="2"/>
    </row>
    <row r="76" spans="1:4" ht="12.75">
      <c r="A76" s="22" t="s">
        <v>84</v>
      </c>
      <c r="B76" s="1"/>
      <c r="C76" s="1"/>
      <c r="D76" s="2"/>
    </row>
    <row r="77" spans="1:4" ht="12.75">
      <c r="A77" s="22" t="s">
        <v>85</v>
      </c>
      <c r="B77" s="1"/>
      <c r="C77" s="1"/>
      <c r="D77" s="2"/>
    </row>
    <row r="78" spans="1:4" ht="12.75">
      <c r="A78" s="22" t="s">
        <v>86</v>
      </c>
      <c r="B78" s="1"/>
      <c r="C78" s="1"/>
      <c r="D78" s="2"/>
    </row>
    <row r="79" spans="1:4" ht="12.75">
      <c r="A79" s="1"/>
      <c r="B79" s="1"/>
      <c r="C79" s="1"/>
      <c r="D79" s="2"/>
    </row>
    <row r="80" spans="1:4" ht="12.75">
      <c r="A80" s="22"/>
      <c r="B80" s="1"/>
      <c r="C80" s="1"/>
      <c r="D80" s="2"/>
    </row>
    <row r="81" spans="1:4" ht="12.75">
      <c r="A81" s="22" t="s">
        <v>116</v>
      </c>
      <c r="B81" s="22"/>
      <c r="C81" s="1"/>
      <c r="D81" s="2"/>
    </row>
  </sheetData>
  <mergeCells count="54"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9:C29"/>
    <mergeCell ref="A30:D30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5:B65"/>
    <mergeCell ref="A66:B66"/>
    <mergeCell ref="A61:B61"/>
    <mergeCell ref="A62:B62"/>
    <mergeCell ref="A63:B63"/>
    <mergeCell ref="A64:B64"/>
  </mergeCells>
  <printOptions/>
  <pageMargins left="0.75" right="0.75" top="1" bottom="1" header="0.5" footer="0.5"/>
  <pageSetup horizontalDpi="600" verticalDpi="600" orientation="portrait" paperSize="9" scale="92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5:G86"/>
  <sheetViews>
    <sheetView workbookViewId="0" topLeftCell="A49">
      <selection activeCell="I76" sqref="I76"/>
    </sheetView>
  </sheetViews>
  <sheetFormatPr defaultColWidth="9.140625" defaultRowHeight="12.75"/>
  <cols>
    <col min="1" max="1" width="47.421875" style="0" customWidth="1"/>
    <col min="2" max="2" width="13.421875" style="0" customWidth="1"/>
    <col min="3" max="4" width="15.28125" style="0" customWidth="1"/>
  </cols>
  <sheetData>
    <row r="5" spans="1:3" ht="12.75">
      <c r="A5" s="24" t="s">
        <v>0</v>
      </c>
      <c r="B5" s="4"/>
      <c r="C5" s="4"/>
    </row>
    <row r="6" spans="1:3" ht="12.75">
      <c r="A6" s="24" t="s">
        <v>106</v>
      </c>
      <c r="B6" s="4"/>
      <c r="C6" s="4"/>
    </row>
    <row r="7" spans="1:3" ht="12.75">
      <c r="A7" s="24" t="s">
        <v>124</v>
      </c>
      <c r="B7" s="4"/>
      <c r="C7" s="4"/>
    </row>
    <row r="8" spans="1:3" ht="12.75">
      <c r="A8" s="3"/>
      <c r="B8" s="4"/>
      <c r="C8" s="4"/>
    </row>
    <row r="9" ht="12.75">
      <c r="A9" s="5" t="s">
        <v>149</v>
      </c>
    </row>
    <row r="11" ht="12.75">
      <c r="A11" t="s">
        <v>150</v>
      </c>
    </row>
    <row r="12" spans="1:4" ht="38.25">
      <c r="A12" s="45" t="s">
        <v>5</v>
      </c>
      <c r="B12" s="46"/>
      <c r="C12" s="6" t="s">
        <v>107</v>
      </c>
      <c r="D12" s="6" t="s">
        <v>7</v>
      </c>
    </row>
    <row r="13" spans="1:4" ht="12.75">
      <c r="A13" s="47" t="s">
        <v>8</v>
      </c>
      <c r="B13" s="48"/>
      <c r="C13" s="8">
        <v>0</v>
      </c>
      <c r="D13" s="8">
        <v>0</v>
      </c>
    </row>
    <row r="14" spans="1:4" ht="12.75">
      <c r="A14" s="47" t="s">
        <v>147</v>
      </c>
      <c r="B14" s="48"/>
      <c r="C14" s="6"/>
      <c r="D14" s="6"/>
    </row>
    <row r="15" spans="1:4" ht="12.75">
      <c r="A15" s="49" t="s">
        <v>125</v>
      </c>
      <c r="B15" s="50"/>
      <c r="C15" s="9">
        <f>C17+C18+C19+C20</f>
        <v>525987.698</v>
      </c>
      <c r="D15" s="10">
        <f>41517.7+28295.75</f>
        <v>69813.45</v>
      </c>
    </row>
    <row r="16" spans="1:4" ht="12.75">
      <c r="A16" s="49" t="s">
        <v>11</v>
      </c>
      <c r="B16" s="50"/>
      <c r="C16" s="10"/>
      <c r="D16" s="10"/>
    </row>
    <row r="17" spans="1:4" ht="12.75">
      <c r="A17" s="51" t="s">
        <v>12</v>
      </c>
      <c r="B17" s="52"/>
      <c r="C17" s="9">
        <f>D35+D42+D49+D50+D51</f>
        <v>162584.29400000002</v>
      </c>
      <c r="D17" s="10"/>
    </row>
    <row r="18" spans="1:4" ht="12.75">
      <c r="A18" s="51" t="s">
        <v>13</v>
      </c>
      <c r="B18" s="52"/>
      <c r="C18" s="9">
        <f>D54+D56</f>
        <v>38144.736</v>
      </c>
      <c r="D18" s="10"/>
    </row>
    <row r="19" spans="1:4" ht="12.75">
      <c r="A19" s="51" t="s">
        <v>14</v>
      </c>
      <c r="B19" s="52"/>
      <c r="C19" s="9">
        <f>D63</f>
        <v>150989.58</v>
      </c>
      <c r="D19" s="10"/>
    </row>
    <row r="20" spans="1:4" ht="12.75">
      <c r="A20" s="51" t="s">
        <v>15</v>
      </c>
      <c r="B20" s="52"/>
      <c r="C20" s="9">
        <f>D67</f>
        <v>174269.08800000002</v>
      </c>
      <c r="D20" s="10"/>
    </row>
    <row r="21" spans="1:4" ht="12.75">
      <c r="A21" s="49" t="s">
        <v>16</v>
      </c>
      <c r="B21" s="50"/>
      <c r="C21" s="9">
        <f>C13+C15-C23</f>
        <v>483729.31799999997</v>
      </c>
      <c r="D21" s="10">
        <f>D13+D15-D23</f>
        <v>64584.17999999999</v>
      </c>
    </row>
    <row r="22" spans="1:4" ht="12.75">
      <c r="A22" s="49" t="s">
        <v>17</v>
      </c>
      <c r="B22" s="50"/>
      <c r="C22" s="10"/>
      <c r="D22" s="10"/>
    </row>
    <row r="23" spans="1:4" ht="12.75">
      <c r="A23" s="49" t="s">
        <v>18</v>
      </c>
      <c r="B23" s="50"/>
      <c r="C23" s="10">
        <v>42258.38</v>
      </c>
      <c r="D23" s="10">
        <f>3109.82+2119.45</f>
        <v>5229.27</v>
      </c>
    </row>
    <row r="24" spans="1:4" ht="12.75">
      <c r="A24" s="49" t="s">
        <v>83</v>
      </c>
      <c r="B24" s="50"/>
      <c r="C24" s="9">
        <f>D68+D69+D70</f>
        <v>527703.848</v>
      </c>
      <c r="D24" s="10">
        <v>0</v>
      </c>
    </row>
    <row r="25" spans="1:4" ht="12.75">
      <c r="A25" s="49" t="s">
        <v>19</v>
      </c>
      <c r="B25" s="50"/>
      <c r="C25" s="9"/>
      <c r="D25" s="10">
        <v>0</v>
      </c>
    </row>
    <row r="26" spans="1:4" ht="12.75">
      <c r="A26" s="49" t="s">
        <v>20</v>
      </c>
      <c r="B26" s="50"/>
      <c r="C26" s="26"/>
      <c r="D26" s="10">
        <v>0</v>
      </c>
    </row>
    <row r="27" spans="1:4" ht="29.25" customHeight="1">
      <c r="A27" s="49" t="s">
        <v>99</v>
      </c>
      <c r="B27" s="50"/>
      <c r="C27" s="26"/>
      <c r="D27" s="10">
        <v>0</v>
      </c>
    </row>
    <row r="28" spans="1:4" ht="26.25" customHeight="1">
      <c r="A28" s="49" t="s">
        <v>22</v>
      </c>
      <c r="B28" s="50"/>
      <c r="C28" s="26"/>
      <c r="D28" s="10">
        <v>0</v>
      </c>
    </row>
    <row r="29" spans="1:4" ht="12.75">
      <c r="A29" s="67" t="s">
        <v>23</v>
      </c>
      <c r="B29" s="67"/>
      <c r="C29" s="67"/>
      <c r="D29" s="2"/>
    </row>
    <row r="30" spans="1:4" ht="12.75">
      <c r="A30" s="53" t="s">
        <v>24</v>
      </c>
      <c r="B30" s="53"/>
      <c r="C30" s="53"/>
      <c r="D30" s="2"/>
    </row>
    <row r="31" spans="1:4" ht="12.75">
      <c r="A31" s="2"/>
      <c r="B31" s="2"/>
      <c r="C31" s="2"/>
      <c r="D31" s="2"/>
    </row>
    <row r="32" spans="1:4" ht="25.5">
      <c r="A32" s="68" t="s">
        <v>25</v>
      </c>
      <c r="B32" s="69"/>
      <c r="C32" s="26" t="s">
        <v>138</v>
      </c>
      <c r="D32" s="26" t="s">
        <v>27</v>
      </c>
    </row>
    <row r="33" spans="1:4" ht="12.75">
      <c r="A33" s="27"/>
      <c r="B33" s="28"/>
      <c r="C33" s="28"/>
      <c r="D33" s="29"/>
    </row>
    <row r="34" spans="1:4" ht="12.75">
      <c r="A34" s="30" t="s">
        <v>28</v>
      </c>
      <c r="B34" s="31"/>
      <c r="C34" s="32"/>
      <c r="D34" s="33"/>
    </row>
    <row r="35" spans="1:7" ht="12.75">
      <c r="A35" s="79" t="s">
        <v>139</v>
      </c>
      <c r="B35" s="80"/>
      <c r="C35" s="32"/>
      <c r="D35" s="35">
        <f>9349.2*6.63</f>
        <v>61985.196</v>
      </c>
      <c r="G35" s="2"/>
    </row>
    <row r="36" spans="1:7" ht="12.75">
      <c r="A36" s="49" t="s">
        <v>30</v>
      </c>
      <c r="B36" s="50"/>
      <c r="C36" s="26" t="s">
        <v>31</v>
      </c>
      <c r="D36" s="9"/>
      <c r="G36" s="2"/>
    </row>
    <row r="37" spans="1:7" ht="12.75">
      <c r="A37" s="49" t="s">
        <v>32</v>
      </c>
      <c r="B37" s="50"/>
      <c r="C37" s="26" t="s">
        <v>33</v>
      </c>
      <c r="D37" s="9"/>
      <c r="G37" s="2"/>
    </row>
    <row r="38" spans="1:4" ht="12.75">
      <c r="A38" s="68" t="s">
        <v>140</v>
      </c>
      <c r="B38" s="69"/>
      <c r="C38" s="26" t="s">
        <v>35</v>
      </c>
      <c r="D38" s="9"/>
    </row>
    <row r="39" spans="1:4" ht="12.75">
      <c r="A39" s="49" t="s">
        <v>36</v>
      </c>
      <c r="B39" s="50"/>
      <c r="C39" s="26" t="s">
        <v>37</v>
      </c>
      <c r="D39" s="9"/>
    </row>
    <row r="40" spans="1:4" ht="12.75">
      <c r="A40" s="49" t="s">
        <v>38</v>
      </c>
      <c r="B40" s="50"/>
      <c r="C40" s="26" t="s">
        <v>39</v>
      </c>
      <c r="D40" s="9"/>
    </row>
    <row r="41" spans="1:4" ht="12.75">
      <c r="A41" s="49" t="s">
        <v>40</v>
      </c>
      <c r="B41" s="50"/>
      <c r="C41" s="26" t="s">
        <v>41</v>
      </c>
      <c r="D41" s="9"/>
    </row>
    <row r="42" spans="1:4" ht="12.75">
      <c r="A42" s="75" t="s">
        <v>42</v>
      </c>
      <c r="B42" s="76"/>
      <c r="C42" s="73" t="s">
        <v>141</v>
      </c>
      <c r="D42" s="9">
        <f>9349.2*2.2+18887.09</f>
        <v>39455.33</v>
      </c>
    </row>
    <row r="43" spans="1:4" ht="12.75">
      <c r="A43" s="77"/>
      <c r="B43" s="78"/>
      <c r="C43" s="74"/>
      <c r="D43" s="9"/>
    </row>
    <row r="44" spans="1:4" ht="25.5">
      <c r="A44" s="49" t="s">
        <v>44</v>
      </c>
      <c r="B44" s="50"/>
      <c r="C44" s="26" t="s">
        <v>45</v>
      </c>
      <c r="D44" s="9"/>
    </row>
    <row r="45" spans="1:4" ht="25.5">
      <c r="A45" s="49" t="s">
        <v>46</v>
      </c>
      <c r="B45" s="50"/>
      <c r="C45" s="26" t="s">
        <v>45</v>
      </c>
      <c r="D45" s="9"/>
    </row>
    <row r="46" spans="1:4" ht="25.5">
      <c r="A46" s="49" t="s">
        <v>47</v>
      </c>
      <c r="B46" s="50"/>
      <c r="C46" s="26" t="s">
        <v>48</v>
      </c>
      <c r="D46" s="10"/>
    </row>
    <row r="47" spans="1:4" ht="33" customHeight="1">
      <c r="A47" s="49" t="s">
        <v>49</v>
      </c>
      <c r="B47" s="50"/>
      <c r="C47" s="26" t="s">
        <v>142</v>
      </c>
      <c r="D47" s="9"/>
    </row>
    <row r="48" spans="1:4" ht="12.75">
      <c r="A48" s="49" t="s">
        <v>51</v>
      </c>
      <c r="B48" s="50"/>
      <c r="C48" s="26" t="s">
        <v>31</v>
      </c>
      <c r="D48" s="9"/>
    </row>
    <row r="49" spans="1:4" ht="27.75" customHeight="1">
      <c r="A49" s="49" t="s">
        <v>52</v>
      </c>
      <c r="B49" s="50"/>
      <c r="C49" s="26" t="s">
        <v>143</v>
      </c>
      <c r="D49" s="9">
        <f>9349.2*0.06</f>
        <v>560.952</v>
      </c>
    </row>
    <row r="50" spans="1:4" ht="12.75">
      <c r="A50" s="49" t="s">
        <v>54</v>
      </c>
      <c r="B50" s="50"/>
      <c r="C50" s="26" t="s">
        <v>31</v>
      </c>
      <c r="D50" s="9">
        <f>9349.2*4.99</f>
        <v>46652.50800000001</v>
      </c>
    </row>
    <row r="51" spans="1:4" ht="25.5" customHeight="1">
      <c r="A51" s="49" t="s">
        <v>108</v>
      </c>
      <c r="B51" s="50"/>
      <c r="C51" s="26" t="s">
        <v>109</v>
      </c>
      <c r="D51" s="9">
        <f>9349.2*1.49</f>
        <v>13930.308</v>
      </c>
    </row>
    <row r="52" spans="1:4" ht="38.25">
      <c r="A52" s="49" t="s">
        <v>110</v>
      </c>
      <c r="B52" s="50"/>
      <c r="C52" s="26" t="s">
        <v>144</v>
      </c>
      <c r="D52" s="9"/>
    </row>
    <row r="53" spans="1:4" ht="12.75">
      <c r="A53" s="49" t="s">
        <v>148</v>
      </c>
      <c r="B53" s="50"/>
      <c r="C53" s="26"/>
      <c r="D53" s="9"/>
    </row>
    <row r="54" spans="1:4" ht="27.75" customHeight="1">
      <c r="A54" s="49" t="s">
        <v>145</v>
      </c>
      <c r="B54" s="50"/>
      <c r="C54" s="26" t="s">
        <v>41</v>
      </c>
      <c r="D54" s="9">
        <f>9349.2*0.37</f>
        <v>3459.204</v>
      </c>
    </row>
    <row r="55" spans="1:4" ht="38.25">
      <c r="A55" s="49" t="s">
        <v>61</v>
      </c>
      <c r="B55" s="50"/>
      <c r="C55" s="26" t="s">
        <v>62</v>
      </c>
      <c r="D55" s="9"/>
    </row>
    <row r="56" spans="1:4" ht="12.75">
      <c r="A56" s="61" t="s">
        <v>120</v>
      </c>
      <c r="B56" s="62"/>
      <c r="C56" s="26"/>
      <c r="D56" s="9">
        <f>9349.2*3.71</f>
        <v>34685.532</v>
      </c>
    </row>
    <row r="57" spans="1:4" ht="12.75">
      <c r="A57" s="49" t="s">
        <v>121</v>
      </c>
      <c r="B57" s="50"/>
      <c r="C57" s="26"/>
      <c r="D57" s="9"/>
    </row>
    <row r="58" spans="1:4" ht="12.75">
      <c r="A58" s="49" t="s">
        <v>122</v>
      </c>
      <c r="B58" s="50"/>
      <c r="C58" s="26"/>
      <c r="D58" s="9"/>
    </row>
    <row r="59" spans="1:4" ht="12.75">
      <c r="A59" s="49" t="s">
        <v>123</v>
      </c>
      <c r="B59" s="50"/>
      <c r="C59" s="26"/>
      <c r="D59" s="9"/>
    </row>
    <row r="60" spans="1:4" ht="30" customHeight="1">
      <c r="A60" s="49" t="s">
        <v>146</v>
      </c>
      <c r="B60" s="50"/>
      <c r="C60" s="26" t="s">
        <v>112</v>
      </c>
      <c r="D60" s="10"/>
    </row>
    <row r="61" spans="1:4" ht="30.75" customHeight="1">
      <c r="A61" s="49" t="s">
        <v>63</v>
      </c>
      <c r="B61" s="50"/>
      <c r="C61" s="26" t="s">
        <v>35</v>
      </c>
      <c r="D61" s="9"/>
    </row>
    <row r="62" spans="1:4" ht="26.25" customHeight="1">
      <c r="A62" s="49" t="s">
        <v>64</v>
      </c>
      <c r="B62" s="50"/>
      <c r="C62" s="26"/>
      <c r="D62" s="10"/>
    </row>
    <row r="63" spans="1:4" ht="17.25" customHeight="1">
      <c r="A63" s="61" t="s">
        <v>68</v>
      </c>
      <c r="B63" s="62"/>
      <c r="C63" s="26" t="s">
        <v>69</v>
      </c>
      <c r="D63" s="9">
        <f>9349.2*16.15</f>
        <v>150989.58</v>
      </c>
    </row>
    <row r="64" spans="1:4" ht="12.75">
      <c r="A64" s="49" t="s">
        <v>70</v>
      </c>
      <c r="B64" s="50"/>
      <c r="C64" s="26" t="s">
        <v>69</v>
      </c>
      <c r="D64" s="10"/>
    </row>
    <row r="65" spans="1:4" ht="12.75">
      <c r="A65" s="49" t="s">
        <v>71</v>
      </c>
      <c r="B65" s="50"/>
      <c r="C65" s="26" t="s">
        <v>69</v>
      </c>
      <c r="D65" s="10"/>
    </row>
    <row r="66" spans="1:4" ht="12.75">
      <c r="A66" s="49" t="s">
        <v>72</v>
      </c>
      <c r="B66" s="50"/>
      <c r="C66" s="26" t="s">
        <v>73</v>
      </c>
      <c r="D66" s="10"/>
    </row>
    <row r="67" spans="1:4" ht="39" customHeight="1">
      <c r="A67" s="61" t="s">
        <v>115</v>
      </c>
      <c r="B67" s="62"/>
      <c r="C67" s="26" t="s">
        <v>67</v>
      </c>
      <c r="D67" s="9">
        <f>9349.2*18.64</f>
        <v>174269.08800000002</v>
      </c>
    </row>
    <row r="68" spans="1:4" ht="12.75">
      <c r="A68" s="63" t="s">
        <v>74</v>
      </c>
      <c r="B68" s="64"/>
      <c r="C68" s="19"/>
      <c r="D68" s="21">
        <f>D35+D42+D49+D50+D51+D54+D56+D62+D63+D55+D67</f>
        <v>525987.698</v>
      </c>
    </row>
    <row r="69" spans="1:4" ht="12.75">
      <c r="A69" s="49" t="s">
        <v>155</v>
      </c>
      <c r="B69" s="50"/>
      <c r="C69" s="26" t="s">
        <v>156</v>
      </c>
      <c r="D69" s="10">
        <v>957.1</v>
      </c>
    </row>
    <row r="70" spans="1:4" ht="12.75">
      <c r="A70" s="71" t="s">
        <v>157</v>
      </c>
      <c r="B70" s="71"/>
      <c r="C70" s="26" t="s">
        <v>35</v>
      </c>
      <c r="D70" s="10">
        <v>759.05</v>
      </c>
    </row>
    <row r="71" spans="1:4" ht="12.75">
      <c r="A71" s="70"/>
      <c r="B71" s="70"/>
      <c r="C71" s="2"/>
      <c r="D71" s="2"/>
    </row>
    <row r="72" spans="1:4" ht="12.75">
      <c r="A72" s="22" t="s">
        <v>76</v>
      </c>
      <c r="B72" s="22"/>
      <c r="C72" s="22"/>
      <c r="D72" s="2"/>
    </row>
    <row r="73" spans="1:4" ht="12.75">
      <c r="A73" s="22" t="s">
        <v>77</v>
      </c>
      <c r="B73" s="22"/>
      <c r="C73" s="22"/>
      <c r="D73" s="2"/>
    </row>
    <row r="74" spans="1:4" ht="12.75">
      <c r="A74" s="22" t="s">
        <v>129</v>
      </c>
      <c r="B74" s="22"/>
      <c r="C74" s="22"/>
      <c r="D74" s="2"/>
    </row>
    <row r="75" spans="1:4" ht="12.75">
      <c r="A75" s="22" t="s">
        <v>126</v>
      </c>
      <c r="B75" s="22"/>
      <c r="C75" s="22"/>
      <c r="D75" s="2"/>
    </row>
    <row r="76" spans="1:4" ht="12.75">
      <c r="A76" s="22" t="s">
        <v>84</v>
      </c>
      <c r="B76" s="1"/>
      <c r="C76" s="1"/>
      <c r="D76" s="2"/>
    </row>
    <row r="77" spans="1:4" ht="12.75">
      <c r="A77" s="22" t="s">
        <v>85</v>
      </c>
      <c r="B77" s="1"/>
      <c r="C77" s="1"/>
      <c r="D77" s="2"/>
    </row>
    <row r="78" spans="1:4" ht="12.75">
      <c r="A78" s="22" t="s">
        <v>86</v>
      </c>
      <c r="B78" s="1"/>
      <c r="C78" s="1"/>
      <c r="D78" s="2"/>
    </row>
    <row r="79" spans="1:4" ht="12.75">
      <c r="A79" s="1"/>
      <c r="B79" s="1"/>
      <c r="C79" s="1"/>
      <c r="D79" s="2"/>
    </row>
    <row r="80" spans="1:4" ht="12.75">
      <c r="A80" s="22"/>
      <c r="B80" s="1"/>
      <c r="C80" s="1"/>
      <c r="D80" s="2"/>
    </row>
    <row r="81" spans="1:4" ht="12.75">
      <c r="A81" s="22" t="s">
        <v>116</v>
      </c>
      <c r="B81" s="22"/>
      <c r="C81" s="1"/>
      <c r="D81" s="2"/>
    </row>
    <row r="86" ht="12.75">
      <c r="A86" s="22"/>
    </row>
  </sheetData>
  <mergeCells count="57"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C29"/>
    <mergeCell ref="A30:C30"/>
    <mergeCell ref="A32:B32"/>
    <mergeCell ref="A35:B35"/>
    <mergeCell ref="A36:B36"/>
    <mergeCell ref="A37:B37"/>
    <mergeCell ref="A38:B38"/>
    <mergeCell ref="A39:B39"/>
    <mergeCell ref="A40:B40"/>
    <mergeCell ref="A41:B41"/>
    <mergeCell ref="A42:B43"/>
    <mergeCell ref="C42:C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71:B71"/>
    <mergeCell ref="A69:B69"/>
    <mergeCell ref="A70:B70"/>
  </mergeCells>
  <printOptions/>
  <pageMargins left="0.75" right="0.75" top="1" bottom="1" header="0.5" footer="0.5"/>
  <pageSetup horizontalDpi="600" verticalDpi="600" orientation="portrait" paperSize="9" scale="95" r:id="rId1"/>
  <colBreaks count="1" manualBreakCount="1">
    <brk id="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5:G80"/>
  <sheetViews>
    <sheetView workbookViewId="0" topLeftCell="A53">
      <selection activeCell="D84" sqref="D84"/>
    </sheetView>
  </sheetViews>
  <sheetFormatPr defaultColWidth="9.140625" defaultRowHeight="12.75"/>
  <cols>
    <col min="1" max="1" width="48.140625" style="0" customWidth="1"/>
    <col min="2" max="2" width="16.421875" style="0" hidden="1" customWidth="1"/>
    <col min="3" max="3" width="17.8515625" style="0" customWidth="1"/>
    <col min="4" max="4" width="14.57421875" style="0" customWidth="1"/>
    <col min="5" max="5" width="14.140625" style="0" customWidth="1"/>
    <col min="7" max="7" width="11.140625" style="0" customWidth="1"/>
  </cols>
  <sheetData>
    <row r="5" spans="1:3" ht="12.75">
      <c r="A5" s="24" t="s">
        <v>0</v>
      </c>
      <c r="B5" s="4"/>
      <c r="C5" s="4"/>
    </row>
    <row r="6" spans="1:3" ht="12.75">
      <c r="A6" s="24" t="s">
        <v>106</v>
      </c>
      <c r="B6" s="4"/>
      <c r="C6" s="4"/>
    </row>
    <row r="7" spans="1:3" ht="12.75">
      <c r="A7" s="24" t="s">
        <v>124</v>
      </c>
      <c r="B7" s="4"/>
      <c r="C7" s="4"/>
    </row>
    <row r="8" spans="1:3" ht="12.75">
      <c r="A8" s="3"/>
      <c r="B8" s="4"/>
      <c r="C8" s="4"/>
    </row>
    <row r="9" ht="12.75">
      <c r="A9" s="5" t="s">
        <v>130</v>
      </c>
    </row>
    <row r="11" ht="12.75">
      <c r="A11" t="s">
        <v>131</v>
      </c>
    </row>
    <row r="12" spans="1:5" ht="51">
      <c r="A12" s="45" t="s">
        <v>5</v>
      </c>
      <c r="B12" s="46"/>
      <c r="C12" s="6" t="s">
        <v>107</v>
      </c>
      <c r="D12" s="6" t="s">
        <v>7</v>
      </c>
      <c r="E12" s="26" t="s">
        <v>117</v>
      </c>
    </row>
    <row r="13" spans="1:5" ht="12.75">
      <c r="A13" s="47" t="s">
        <v>8</v>
      </c>
      <c r="B13" s="48"/>
      <c r="C13" s="7">
        <v>0</v>
      </c>
      <c r="D13" s="7">
        <v>0</v>
      </c>
      <c r="E13" s="7">
        <v>0</v>
      </c>
    </row>
    <row r="14" spans="1:5" ht="12.75">
      <c r="A14" s="47" t="s">
        <v>9</v>
      </c>
      <c r="B14" s="48"/>
      <c r="C14" s="6"/>
      <c r="D14" s="6"/>
      <c r="E14" s="8">
        <v>139121</v>
      </c>
    </row>
    <row r="15" spans="1:5" ht="12.75">
      <c r="A15" s="49" t="s">
        <v>125</v>
      </c>
      <c r="B15" s="50"/>
      <c r="C15" s="9">
        <f>C17+C18+C19+C20</f>
        <v>527067.896</v>
      </c>
      <c r="D15" s="9">
        <f>32733.26+22308.85</f>
        <v>55042.11</v>
      </c>
      <c r="E15" s="9">
        <v>56210</v>
      </c>
    </row>
    <row r="16" spans="1:5" ht="12.75">
      <c r="A16" s="49" t="s">
        <v>11</v>
      </c>
      <c r="B16" s="50"/>
      <c r="C16" s="10"/>
      <c r="D16" s="10"/>
      <c r="E16" s="9"/>
    </row>
    <row r="17" spans="1:5" ht="12.75">
      <c r="A17" s="51" t="s">
        <v>12</v>
      </c>
      <c r="B17" s="52"/>
      <c r="C17" s="9">
        <f>D35+D41+D42+D48+D49+D50</f>
        <v>162918.188</v>
      </c>
      <c r="D17" s="10"/>
      <c r="E17" s="9"/>
    </row>
    <row r="18" spans="1:5" ht="12.75">
      <c r="A18" s="51" t="s">
        <v>13</v>
      </c>
      <c r="B18" s="52"/>
      <c r="C18" s="9">
        <f>D54+D52</f>
        <v>38223.07199999999</v>
      </c>
      <c r="D18" s="10"/>
      <c r="E18" s="9"/>
    </row>
    <row r="19" spans="1:5" ht="12.75">
      <c r="A19" s="51" t="s">
        <v>14</v>
      </c>
      <c r="B19" s="52"/>
      <c r="C19" s="9">
        <f>D62</f>
        <v>151299.65999999997</v>
      </c>
      <c r="D19" s="10"/>
      <c r="E19" s="9"/>
    </row>
    <row r="20" spans="1:5" ht="12.75">
      <c r="A20" s="51" t="s">
        <v>15</v>
      </c>
      <c r="B20" s="52"/>
      <c r="C20" s="9">
        <f>D66</f>
        <v>174626.976</v>
      </c>
      <c r="D20" s="10"/>
      <c r="E20" s="9"/>
    </row>
    <row r="21" spans="1:5" ht="12.75">
      <c r="A21" s="49" t="s">
        <v>16</v>
      </c>
      <c r="B21" s="50"/>
      <c r="C21" s="9">
        <f>C13+C15-C23</f>
        <v>484722.72599999997</v>
      </c>
      <c r="D21" s="10">
        <f>D13+D15-D23</f>
        <v>50298.03</v>
      </c>
      <c r="E21" s="9">
        <f>E13+E15-E23</f>
        <v>51525.8</v>
      </c>
    </row>
    <row r="22" spans="1:5" ht="12.75">
      <c r="A22" s="49" t="s">
        <v>17</v>
      </c>
      <c r="B22" s="50"/>
      <c r="C22" s="10"/>
      <c r="D22" s="10"/>
      <c r="E22" s="10"/>
    </row>
    <row r="23" spans="1:5" ht="12.75">
      <c r="A23" s="49" t="s">
        <v>18</v>
      </c>
      <c r="B23" s="50"/>
      <c r="C23" s="9">
        <v>42345.17</v>
      </c>
      <c r="D23" s="9">
        <f>2821.28+1922.8</f>
        <v>4744.08</v>
      </c>
      <c r="E23" s="10">
        <v>4684.2</v>
      </c>
    </row>
    <row r="24" spans="1:5" ht="12.75">
      <c r="A24" s="49" t="s">
        <v>83</v>
      </c>
      <c r="B24" s="50"/>
      <c r="C24" s="9">
        <f>D67</f>
        <v>527067.896</v>
      </c>
      <c r="D24" s="9"/>
      <c r="E24" s="9"/>
    </row>
    <row r="25" spans="1:5" ht="12.75">
      <c r="A25" s="49" t="s">
        <v>19</v>
      </c>
      <c r="B25" s="50"/>
      <c r="C25" s="9">
        <v>0</v>
      </c>
      <c r="D25" s="9">
        <v>0</v>
      </c>
      <c r="E25" s="9">
        <v>0</v>
      </c>
    </row>
    <row r="26" spans="1:5" ht="12.75">
      <c r="A26" s="49" t="s">
        <v>20</v>
      </c>
      <c r="B26" s="50"/>
      <c r="C26" s="9">
        <v>0</v>
      </c>
      <c r="D26" s="9">
        <v>0</v>
      </c>
      <c r="E26" s="9">
        <f>E14+E21</f>
        <v>190646.8</v>
      </c>
    </row>
    <row r="27" spans="1:5" ht="31.5" customHeight="1">
      <c r="A27" s="49" t="s">
        <v>99</v>
      </c>
      <c r="B27" s="50"/>
      <c r="C27" s="9">
        <v>0</v>
      </c>
      <c r="D27" s="9">
        <v>0</v>
      </c>
      <c r="E27" s="9">
        <v>0</v>
      </c>
    </row>
    <row r="28" spans="1:5" ht="27.75" customHeight="1">
      <c r="A28" s="49" t="s">
        <v>22</v>
      </c>
      <c r="B28" s="50"/>
      <c r="C28" s="9">
        <v>0</v>
      </c>
      <c r="D28" s="9">
        <v>0</v>
      </c>
      <c r="E28" s="9">
        <v>0</v>
      </c>
    </row>
    <row r="29" spans="1:4" ht="12.75">
      <c r="A29" s="2"/>
      <c r="B29" s="2"/>
      <c r="C29" s="2"/>
      <c r="D29" s="2"/>
    </row>
    <row r="30" spans="1:4" ht="12.75">
      <c r="A30" s="67" t="s">
        <v>23</v>
      </c>
      <c r="B30" s="67"/>
      <c r="C30" s="67"/>
      <c r="D30" s="2"/>
    </row>
    <row r="31" spans="1:4" ht="12.75">
      <c r="A31" s="53" t="s">
        <v>24</v>
      </c>
      <c r="B31" s="53"/>
      <c r="C31" s="53"/>
      <c r="D31" s="53"/>
    </row>
    <row r="32" spans="1:4" ht="12.75">
      <c r="A32" s="2"/>
      <c r="B32" s="2"/>
      <c r="C32" s="2"/>
      <c r="D32" s="2"/>
    </row>
    <row r="33" spans="1:4" ht="12.75">
      <c r="A33" s="68" t="s">
        <v>25</v>
      </c>
      <c r="B33" s="69"/>
      <c r="C33" s="26" t="s">
        <v>26</v>
      </c>
      <c r="D33" s="26" t="s">
        <v>27</v>
      </c>
    </row>
    <row r="34" spans="1:4" ht="12.75">
      <c r="A34" s="65" t="s">
        <v>28</v>
      </c>
      <c r="B34" s="65"/>
      <c r="C34" s="26"/>
      <c r="D34" s="26"/>
    </row>
    <row r="35" spans="1:7" ht="12.75">
      <c r="A35" s="65" t="s">
        <v>29</v>
      </c>
      <c r="B35" s="65"/>
      <c r="C35" s="26"/>
      <c r="D35" s="9">
        <f>9368.4*6.63</f>
        <v>62112.492</v>
      </c>
      <c r="G35" s="2"/>
    </row>
    <row r="36" spans="1:7" ht="12.75">
      <c r="A36" s="49" t="s">
        <v>30</v>
      </c>
      <c r="B36" s="66"/>
      <c r="C36" s="26" t="s">
        <v>31</v>
      </c>
      <c r="D36" s="9"/>
      <c r="G36" s="2"/>
    </row>
    <row r="37" spans="1:7" ht="12.75">
      <c r="A37" s="49" t="s">
        <v>32</v>
      </c>
      <c r="B37" s="50"/>
      <c r="C37" s="26" t="s">
        <v>33</v>
      </c>
      <c r="D37" s="9"/>
      <c r="G37" s="2"/>
    </row>
    <row r="38" spans="1:4" ht="12.75">
      <c r="A38" s="49" t="s">
        <v>34</v>
      </c>
      <c r="B38" s="50"/>
      <c r="C38" s="26" t="s">
        <v>35</v>
      </c>
      <c r="D38" s="9"/>
    </row>
    <row r="39" spans="1:4" ht="12.75">
      <c r="A39" s="49" t="s">
        <v>36</v>
      </c>
      <c r="B39" s="50"/>
      <c r="C39" s="26" t="s">
        <v>37</v>
      </c>
      <c r="D39" s="9"/>
    </row>
    <row r="40" spans="1:4" ht="12.75">
      <c r="A40" s="49" t="s">
        <v>38</v>
      </c>
      <c r="B40" s="50"/>
      <c r="C40" s="26" t="s">
        <v>39</v>
      </c>
      <c r="D40" s="9"/>
    </row>
    <row r="41" spans="1:4" ht="12.75">
      <c r="A41" s="49" t="s">
        <v>40</v>
      </c>
      <c r="B41" s="50"/>
      <c r="C41" s="26" t="s">
        <v>41</v>
      </c>
      <c r="D41" s="9"/>
    </row>
    <row r="42" spans="1:4" ht="30" customHeight="1">
      <c r="A42" s="47" t="s">
        <v>42</v>
      </c>
      <c r="B42" s="48"/>
      <c r="C42" s="26" t="s">
        <v>43</v>
      </c>
      <c r="D42" s="9">
        <f>9368.4*2.2+18925.88</f>
        <v>39536.36</v>
      </c>
    </row>
    <row r="43" spans="1:4" ht="25.5">
      <c r="A43" s="49" t="s">
        <v>44</v>
      </c>
      <c r="B43" s="50"/>
      <c r="C43" s="26" t="s">
        <v>45</v>
      </c>
      <c r="D43" s="9"/>
    </row>
    <row r="44" spans="1:4" ht="34.5" customHeight="1">
      <c r="A44" s="49" t="s">
        <v>46</v>
      </c>
      <c r="B44" s="50"/>
      <c r="C44" s="26" t="s">
        <v>45</v>
      </c>
      <c r="D44" s="9"/>
    </row>
    <row r="45" spans="1:4" ht="25.5">
      <c r="A45" s="49" t="s">
        <v>47</v>
      </c>
      <c r="B45" s="50"/>
      <c r="C45" s="26" t="s">
        <v>48</v>
      </c>
      <c r="D45" s="9"/>
    </row>
    <row r="46" spans="1:4" ht="12.75">
      <c r="A46" s="49" t="s">
        <v>49</v>
      </c>
      <c r="B46" s="50"/>
      <c r="C46" s="26" t="s">
        <v>50</v>
      </c>
      <c r="D46" s="9"/>
    </row>
    <row r="47" spans="1:4" ht="30" customHeight="1">
      <c r="A47" s="49" t="s">
        <v>51</v>
      </c>
      <c r="B47" s="50"/>
      <c r="C47" s="26" t="s">
        <v>31</v>
      </c>
      <c r="D47" s="9"/>
    </row>
    <row r="48" spans="1:4" ht="21.75" customHeight="1">
      <c r="A48" s="49" t="s">
        <v>52</v>
      </c>
      <c r="B48" s="50"/>
      <c r="C48" s="26" t="s">
        <v>53</v>
      </c>
      <c r="D48" s="9">
        <f>9368.4*0.06</f>
        <v>562.1039999999999</v>
      </c>
    </row>
    <row r="49" spans="1:4" ht="12.75">
      <c r="A49" s="49" t="s">
        <v>54</v>
      </c>
      <c r="B49" s="50"/>
      <c r="C49" s="26" t="s">
        <v>31</v>
      </c>
      <c r="D49" s="9">
        <f>9368.4*4.99</f>
        <v>46748.316</v>
      </c>
    </row>
    <row r="50" spans="1:4" ht="27" customHeight="1">
      <c r="A50" s="49" t="s">
        <v>108</v>
      </c>
      <c r="B50" s="50"/>
      <c r="C50" s="26" t="s">
        <v>109</v>
      </c>
      <c r="D50" s="9">
        <f>9368.4*1.49</f>
        <v>13958.916</v>
      </c>
    </row>
    <row r="51" spans="1:4" ht="38.25">
      <c r="A51" s="49" t="s">
        <v>110</v>
      </c>
      <c r="B51" s="50"/>
      <c r="C51" s="26" t="s">
        <v>118</v>
      </c>
      <c r="D51" s="9"/>
    </row>
    <row r="52" spans="1:4" ht="25.5">
      <c r="A52" s="49" t="s">
        <v>119</v>
      </c>
      <c r="B52" s="50"/>
      <c r="C52" s="26" t="s">
        <v>62</v>
      </c>
      <c r="D52" s="9">
        <f>9368.4*0.37</f>
        <v>3466.308</v>
      </c>
    </row>
    <row r="53" spans="1:4" ht="25.5">
      <c r="A53" s="49" t="s">
        <v>61</v>
      </c>
      <c r="B53" s="50"/>
      <c r="C53" s="26" t="s">
        <v>62</v>
      </c>
      <c r="D53" s="9"/>
    </row>
    <row r="54" spans="1:4" ht="12.75">
      <c r="A54" s="61" t="s">
        <v>120</v>
      </c>
      <c r="B54" s="62"/>
      <c r="C54" s="26"/>
      <c r="D54" s="9">
        <f>9368.4*3.71</f>
        <v>34756.763999999996</v>
      </c>
    </row>
    <row r="55" spans="1:4" ht="12.75">
      <c r="A55" s="49" t="s">
        <v>121</v>
      </c>
      <c r="B55" s="50"/>
      <c r="C55" s="26"/>
      <c r="D55" s="9"/>
    </row>
    <row r="56" spans="1:4" ht="12.75">
      <c r="A56" s="49" t="s">
        <v>122</v>
      </c>
      <c r="B56" s="50"/>
      <c r="C56" s="26"/>
      <c r="D56" s="9"/>
    </row>
    <row r="57" spans="1:4" ht="12.75">
      <c r="A57" s="49" t="s">
        <v>123</v>
      </c>
      <c r="B57" s="50"/>
      <c r="C57" s="26"/>
      <c r="D57" s="9"/>
    </row>
    <row r="58" spans="1:4" ht="26.25" customHeight="1">
      <c r="A58" s="49" t="s">
        <v>59</v>
      </c>
      <c r="B58" s="50"/>
      <c r="C58" s="26" t="s">
        <v>112</v>
      </c>
      <c r="D58" s="10"/>
    </row>
    <row r="59" spans="1:4" ht="12.75">
      <c r="A59" s="49" t="s">
        <v>63</v>
      </c>
      <c r="B59" s="50"/>
      <c r="C59" s="26" t="s">
        <v>35</v>
      </c>
      <c r="D59" s="9"/>
    </row>
    <row r="60" spans="1:4" ht="25.5">
      <c r="A60" s="49" t="s">
        <v>113</v>
      </c>
      <c r="B60" s="50"/>
      <c r="C60" s="26" t="s">
        <v>111</v>
      </c>
      <c r="D60" s="9">
        <v>957.1</v>
      </c>
    </row>
    <row r="61" spans="1:4" ht="12.75">
      <c r="A61" s="49" t="s">
        <v>64</v>
      </c>
      <c r="B61" s="50"/>
      <c r="C61" s="26" t="s">
        <v>114</v>
      </c>
      <c r="D61" s="9"/>
    </row>
    <row r="62" spans="1:4" ht="12.75">
      <c r="A62" s="61" t="s">
        <v>68</v>
      </c>
      <c r="B62" s="62"/>
      <c r="C62" s="26" t="s">
        <v>69</v>
      </c>
      <c r="D62" s="9">
        <f>9368.4*16.15</f>
        <v>151299.65999999997</v>
      </c>
    </row>
    <row r="63" spans="1:4" ht="12.75">
      <c r="A63" s="49" t="s">
        <v>70</v>
      </c>
      <c r="B63" s="50"/>
      <c r="C63" s="26" t="s">
        <v>69</v>
      </c>
      <c r="D63" s="10"/>
    </row>
    <row r="64" spans="1:4" ht="12.75">
      <c r="A64" s="49" t="s">
        <v>71</v>
      </c>
      <c r="B64" s="50"/>
      <c r="C64" s="26" t="s">
        <v>69</v>
      </c>
      <c r="D64" s="10"/>
    </row>
    <row r="65" spans="1:4" ht="12.75">
      <c r="A65" s="49" t="s">
        <v>72</v>
      </c>
      <c r="B65" s="50"/>
      <c r="C65" s="26" t="s">
        <v>73</v>
      </c>
      <c r="D65" s="10"/>
    </row>
    <row r="66" spans="1:4" ht="51.75" customHeight="1">
      <c r="A66" s="61" t="s">
        <v>115</v>
      </c>
      <c r="B66" s="62"/>
      <c r="C66" s="26" t="s">
        <v>67</v>
      </c>
      <c r="D66" s="9">
        <f>9368.4*18.64</f>
        <v>174626.976</v>
      </c>
    </row>
    <row r="67" spans="1:4" ht="12.75">
      <c r="A67" s="63" t="s">
        <v>74</v>
      </c>
      <c r="B67" s="64"/>
      <c r="C67" s="19"/>
      <c r="D67" s="21">
        <f>D35+D42+D48+D49+D50+D52+D54+D62+D66</f>
        <v>527067.896</v>
      </c>
    </row>
    <row r="68" spans="1:4" ht="12.75">
      <c r="A68" s="49" t="s">
        <v>158</v>
      </c>
      <c r="B68" s="50"/>
      <c r="C68" s="26" t="s">
        <v>156</v>
      </c>
      <c r="D68" s="10">
        <v>705</v>
      </c>
    </row>
    <row r="69" spans="1:4" ht="12.75">
      <c r="A69" s="34" t="s">
        <v>159</v>
      </c>
      <c r="B69" s="34"/>
      <c r="C69" s="26" t="s">
        <v>160</v>
      </c>
      <c r="D69" s="10">
        <v>1650</v>
      </c>
    </row>
    <row r="70" spans="1:4" ht="12.75">
      <c r="A70" s="36"/>
      <c r="B70" s="36"/>
      <c r="C70" s="25"/>
      <c r="D70" s="37"/>
    </row>
    <row r="71" spans="1:4" ht="12.75">
      <c r="A71" s="22" t="s">
        <v>76</v>
      </c>
      <c r="B71" s="22"/>
      <c r="C71" s="22"/>
      <c r="D71" s="2"/>
    </row>
    <row r="72" spans="1:4" ht="12.75">
      <c r="A72" s="22" t="s">
        <v>77</v>
      </c>
      <c r="B72" s="22"/>
      <c r="C72" s="22"/>
      <c r="D72" s="2"/>
    </row>
    <row r="73" spans="1:4" ht="12.75">
      <c r="A73" s="22" t="s">
        <v>129</v>
      </c>
      <c r="B73" s="22"/>
      <c r="C73" s="22"/>
      <c r="D73" s="2"/>
    </row>
    <row r="74" spans="1:4" ht="12.75">
      <c r="A74" s="22" t="s">
        <v>126</v>
      </c>
      <c r="B74" s="22"/>
      <c r="C74" s="22"/>
      <c r="D74" s="2"/>
    </row>
    <row r="75" spans="1:4" ht="12.75">
      <c r="A75" s="22" t="s">
        <v>84</v>
      </c>
      <c r="B75" s="1"/>
      <c r="C75" s="1"/>
      <c r="D75" s="2"/>
    </row>
    <row r="76" spans="1:4" ht="12.75">
      <c r="A76" s="22" t="s">
        <v>85</v>
      </c>
      <c r="B76" s="1"/>
      <c r="C76" s="1"/>
      <c r="D76" s="2"/>
    </row>
    <row r="77" spans="1:4" ht="12.75">
      <c r="A77" s="22" t="s">
        <v>86</v>
      </c>
      <c r="B77" s="1"/>
      <c r="C77" s="1"/>
      <c r="D77" s="2"/>
    </row>
    <row r="78" spans="1:4" ht="12.75">
      <c r="A78" s="1"/>
      <c r="B78" s="1"/>
      <c r="C78" s="1"/>
      <c r="D78" s="2"/>
    </row>
    <row r="79" spans="1:4" ht="12.75">
      <c r="A79" s="22"/>
      <c r="B79" s="1"/>
      <c r="C79" s="1"/>
      <c r="D79" s="2"/>
    </row>
    <row r="80" spans="1:4" ht="12.75">
      <c r="A80" s="22" t="s">
        <v>116</v>
      </c>
      <c r="B80" s="22"/>
      <c r="C80" s="1"/>
      <c r="D80" s="2"/>
    </row>
  </sheetData>
  <mergeCells count="55"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30:C30"/>
    <mergeCell ref="A31:D31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6:B66"/>
    <mergeCell ref="A67:B67"/>
    <mergeCell ref="A68:B68"/>
    <mergeCell ref="A62:B62"/>
    <mergeCell ref="A63:B63"/>
    <mergeCell ref="A64:B64"/>
    <mergeCell ref="A65:B65"/>
  </mergeCells>
  <printOptions/>
  <pageMargins left="0.75" right="0.75" top="1" bottom="1" header="0.5" footer="0.5"/>
  <pageSetup horizontalDpi="600" verticalDpi="600" orientation="portrait" paperSize="9" scale="91" r:id="rId1"/>
  <colBreaks count="1" manualBreakCount="1">
    <brk id="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3:Q72"/>
  <sheetViews>
    <sheetView tabSelected="1" workbookViewId="0" topLeftCell="A41">
      <selection activeCell="F51" sqref="F51"/>
    </sheetView>
  </sheetViews>
  <sheetFormatPr defaultColWidth="9.140625" defaultRowHeight="12.75"/>
  <cols>
    <col min="1" max="1" width="50.140625" style="0" customWidth="1"/>
    <col min="2" max="2" width="1.28515625" style="0" customWidth="1"/>
    <col min="3" max="3" width="14.421875" style="0" customWidth="1"/>
    <col min="4" max="4" width="15.421875" style="0" customWidth="1"/>
    <col min="5" max="5" width="12.7109375" style="0" customWidth="1"/>
    <col min="6" max="6" width="14.28125" style="0" customWidth="1"/>
    <col min="7" max="7" width="15.00390625" style="0" customWidth="1"/>
    <col min="8" max="8" width="9.421875" style="0" customWidth="1"/>
  </cols>
  <sheetData>
    <row r="3" spans="1:4" ht="12.75">
      <c r="A3" s="44" t="s">
        <v>0</v>
      </c>
      <c r="B3" s="44"/>
      <c r="C3" s="44"/>
      <c r="D3" s="1"/>
    </row>
    <row r="4" spans="1:4" ht="12.75">
      <c r="A4" s="44" t="s">
        <v>1</v>
      </c>
      <c r="B4" s="44"/>
      <c r="C4" s="44"/>
      <c r="D4" s="1"/>
    </row>
    <row r="5" spans="1:4" ht="12.75">
      <c r="A5" s="44" t="s">
        <v>2</v>
      </c>
      <c r="B5" s="44"/>
      <c r="C5" s="44"/>
      <c r="D5" s="2"/>
    </row>
    <row r="6" spans="1:4" ht="12.75">
      <c r="A6" s="3"/>
      <c r="B6" s="4"/>
      <c r="C6" s="4"/>
      <c r="D6" s="2"/>
    </row>
    <row r="7" spans="1:4" ht="12.75">
      <c r="A7" s="5" t="s">
        <v>90</v>
      </c>
      <c r="D7" s="2"/>
    </row>
    <row r="8" ht="12.75">
      <c r="D8" s="2"/>
    </row>
    <row r="9" spans="1:4" ht="12.75">
      <c r="A9" t="s">
        <v>91</v>
      </c>
      <c r="D9" s="2"/>
    </row>
    <row r="10" spans="1:11" ht="51">
      <c r="A10" s="45" t="s">
        <v>5</v>
      </c>
      <c r="B10" s="46"/>
      <c r="C10" s="6" t="s">
        <v>6</v>
      </c>
      <c r="D10" s="6" t="s">
        <v>7</v>
      </c>
      <c r="E10" s="6" t="s">
        <v>89</v>
      </c>
      <c r="K10" s="81"/>
    </row>
    <row r="11" spans="1:11" ht="12.75">
      <c r="A11" s="47" t="s">
        <v>8</v>
      </c>
      <c r="B11" s="48"/>
      <c r="C11" s="7">
        <v>0</v>
      </c>
      <c r="D11" s="8">
        <v>0</v>
      </c>
      <c r="E11" s="7">
        <v>3395</v>
      </c>
      <c r="K11" s="82"/>
    </row>
    <row r="12" spans="1:11" ht="12.75">
      <c r="A12" s="47" t="s">
        <v>9</v>
      </c>
      <c r="B12" s="48"/>
      <c r="C12" s="8"/>
      <c r="D12" s="6"/>
      <c r="E12" s="8">
        <v>97431</v>
      </c>
      <c r="K12" s="83"/>
    </row>
    <row r="13" spans="1:11" ht="12.75">
      <c r="A13" s="49" t="s">
        <v>10</v>
      </c>
      <c r="B13" s="50"/>
      <c r="C13" s="9">
        <f>C15+C16+C17+C18</f>
        <v>381984.134</v>
      </c>
      <c r="D13" s="10">
        <f>12246.92+8346.7</f>
        <v>20593.620000000003</v>
      </c>
      <c r="E13" s="9">
        <v>40737.6</v>
      </c>
      <c r="K13" s="84"/>
    </row>
    <row r="14" spans="1:11" ht="12.75">
      <c r="A14" s="49" t="s">
        <v>11</v>
      </c>
      <c r="B14" s="50"/>
      <c r="C14" s="9"/>
      <c r="D14" s="10"/>
      <c r="E14" s="9"/>
      <c r="K14" s="84"/>
    </row>
    <row r="15" spans="1:11" ht="12.75">
      <c r="A15" s="51" t="s">
        <v>12</v>
      </c>
      <c r="B15" s="52"/>
      <c r="C15" s="9">
        <f>D33+D40+D46+D47</f>
        <v>115899.71000000002</v>
      </c>
      <c r="D15" s="10"/>
      <c r="E15" s="9"/>
      <c r="K15" s="84"/>
    </row>
    <row r="16" spans="1:11" ht="12.75">
      <c r="A16" s="51" t="s">
        <v>13</v>
      </c>
      <c r="B16" s="52"/>
      <c r="C16" s="9">
        <f>D49+D51</f>
        <v>29874.24</v>
      </c>
      <c r="D16" s="10"/>
      <c r="E16" s="9"/>
      <c r="K16" s="84"/>
    </row>
    <row r="17" spans="1:11" ht="12.75">
      <c r="A17" s="51" t="s">
        <v>14</v>
      </c>
      <c r="B17" s="52"/>
      <c r="C17" s="9">
        <f>D55</f>
        <v>109652.04</v>
      </c>
      <c r="D17" s="10"/>
      <c r="E17" s="9"/>
      <c r="K17" s="84"/>
    </row>
    <row r="18" spans="1:11" ht="12.75">
      <c r="A18" s="51" t="s">
        <v>15</v>
      </c>
      <c r="B18" s="52"/>
      <c r="C18" s="9">
        <f>D59</f>
        <v>126558.14400000001</v>
      </c>
      <c r="D18" s="10"/>
      <c r="E18" s="9"/>
      <c r="K18" s="84"/>
    </row>
    <row r="19" spans="1:11" ht="12.75">
      <c r="A19" s="49" t="s">
        <v>16</v>
      </c>
      <c r="B19" s="50"/>
      <c r="C19" s="9">
        <f>C11+C13-C21</f>
        <v>351295.14400000003</v>
      </c>
      <c r="D19" s="10">
        <f>D11+D13-D21</f>
        <v>17790.300000000003</v>
      </c>
      <c r="E19" s="9">
        <f>E11+E13-E21</f>
        <v>40737.799999999996</v>
      </c>
      <c r="K19" s="84"/>
    </row>
    <row r="20" spans="1:11" ht="12.75">
      <c r="A20" s="49" t="s">
        <v>17</v>
      </c>
      <c r="B20" s="50"/>
      <c r="C20" s="10">
        <v>0</v>
      </c>
      <c r="D20" s="10"/>
      <c r="E20" s="10"/>
      <c r="K20" s="37"/>
    </row>
    <row r="21" spans="1:11" ht="12.75">
      <c r="A21" s="49" t="s">
        <v>18</v>
      </c>
      <c r="B21" s="50"/>
      <c r="C21" s="10">
        <v>30688.99</v>
      </c>
      <c r="D21" s="10">
        <f>1667.12+1136.2</f>
        <v>2803.3199999999997</v>
      </c>
      <c r="E21" s="10">
        <v>3394.8</v>
      </c>
      <c r="K21" s="37"/>
    </row>
    <row r="22" spans="1:11" ht="12.75">
      <c r="A22" s="49" t="s">
        <v>83</v>
      </c>
      <c r="B22" s="50"/>
      <c r="C22" s="9">
        <f>D60</f>
        <v>381984.134</v>
      </c>
      <c r="D22" s="10">
        <v>0</v>
      </c>
      <c r="E22" s="9"/>
      <c r="K22" s="84"/>
    </row>
    <row r="23" spans="1:11" ht="12.75">
      <c r="A23" s="49" t="s">
        <v>19</v>
      </c>
      <c r="B23" s="50"/>
      <c r="C23" s="9">
        <v>0</v>
      </c>
      <c r="D23" s="10">
        <v>0</v>
      </c>
      <c r="E23" s="9">
        <v>0</v>
      </c>
      <c r="K23" s="84"/>
    </row>
    <row r="24" spans="1:11" ht="12.75">
      <c r="A24" s="49" t="s">
        <v>20</v>
      </c>
      <c r="B24" s="50"/>
      <c r="C24" s="9">
        <v>0</v>
      </c>
      <c r="D24" s="10">
        <v>0</v>
      </c>
      <c r="E24" s="9">
        <f>E12+E19</f>
        <v>138168.8</v>
      </c>
      <c r="K24" s="84"/>
    </row>
    <row r="25" spans="1:11" ht="25.5" customHeight="1">
      <c r="A25" s="49" t="s">
        <v>21</v>
      </c>
      <c r="B25" s="50"/>
      <c r="C25" s="9">
        <v>0</v>
      </c>
      <c r="D25" s="10">
        <v>0</v>
      </c>
      <c r="E25" s="9"/>
      <c r="K25" s="84"/>
    </row>
    <row r="26" spans="1:11" ht="28.5" customHeight="1">
      <c r="A26" s="49" t="s">
        <v>22</v>
      </c>
      <c r="B26" s="50"/>
      <c r="C26" s="9">
        <v>0</v>
      </c>
      <c r="D26" s="10">
        <v>0</v>
      </c>
      <c r="E26" s="9"/>
      <c r="K26" s="84"/>
    </row>
    <row r="27" spans="1:11" ht="12.75">
      <c r="A27" s="2"/>
      <c r="B27" s="2"/>
      <c r="C27" s="2"/>
      <c r="D27" s="2"/>
      <c r="K27" s="85"/>
    </row>
    <row r="28" spans="1:4" ht="12.75">
      <c r="A28" s="53" t="s">
        <v>23</v>
      </c>
      <c r="B28" s="53"/>
      <c r="C28" s="53"/>
      <c r="D28" s="2"/>
    </row>
    <row r="29" spans="1:4" ht="12.75" customHeight="1">
      <c r="A29" s="53" t="s">
        <v>24</v>
      </c>
      <c r="B29" s="53"/>
      <c r="C29" s="53"/>
      <c r="D29" s="53"/>
    </row>
    <row r="30" spans="1:4" ht="12.75">
      <c r="A30" s="11"/>
      <c r="B30" s="11"/>
      <c r="C30" s="11"/>
      <c r="D30" s="2"/>
    </row>
    <row r="31" spans="1:4" ht="25.5" customHeight="1">
      <c r="A31" s="12" t="s">
        <v>25</v>
      </c>
      <c r="B31" s="54" t="s">
        <v>26</v>
      </c>
      <c r="C31" s="55"/>
      <c r="D31" s="12" t="s">
        <v>27</v>
      </c>
    </row>
    <row r="32" spans="1:4" ht="12.75">
      <c r="A32" s="13" t="s">
        <v>28</v>
      </c>
      <c r="B32" s="56"/>
      <c r="C32" s="57"/>
      <c r="D32" s="14"/>
    </row>
    <row r="33" spans="1:17" ht="12.75">
      <c r="A33" s="15" t="s">
        <v>29</v>
      </c>
      <c r="B33" s="58"/>
      <c r="C33" s="57"/>
      <c r="D33" s="16">
        <f>6789.6*7.8</f>
        <v>52958.880000000005</v>
      </c>
      <c r="K33" s="86"/>
      <c r="L33" s="87"/>
      <c r="M33" s="87"/>
      <c r="N33" s="87"/>
      <c r="O33" s="87"/>
      <c r="P33" s="87"/>
      <c r="Q33" s="87"/>
    </row>
    <row r="34" spans="1:17" ht="25.5" customHeight="1">
      <c r="A34" s="17" t="s">
        <v>30</v>
      </c>
      <c r="B34" s="59" t="s">
        <v>31</v>
      </c>
      <c r="C34" s="60"/>
      <c r="D34" s="18"/>
      <c r="K34" s="86"/>
      <c r="L34" s="87"/>
      <c r="M34" s="87"/>
      <c r="N34" s="87"/>
      <c r="O34" s="87"/>
      <c r="P34" s="87"/>
      <c r="Q34" s="87"/>
    </row>
    <row r="35" spans="1:17" ht="18" customHeight="1">
      <c r="A35" s="17" t="s">
        <v>32</v>
      </c>
      <c r="B35" s="59" t="s">
        <v>33</v>
      </c>
      <c r="C35" s="60"/>
      <c r="D35" s="18"/>
      <c r="K35" s="87"/>
      <c r="L35" s="87"/>
      <c r="M35" s="87"/>
      <c r="N35" s="87"/>
      <c r="O35" s="87"/>
      <c r="P35" s="87"/>
      <c r="Q35" s="87"/>
    </row>
    <row r="36" spans="1:17" ht="13.5" customHeight="1">
      <c r="A36" s="17" t="s">
        <v>34</v>
      </c>
      <c r="B36" s="59" t="s">
        <v>35</v>
      </c>
      <c r="C36" s="60"/>
      <c r="D36" s="18"/>
      <c r="K36" s="87"/>
      <c r="L36" s="87"/>
      <c r="M36" s="87"/>
      <c r="N36" s="87"/>
      <c r="O36" s="87"/>
      <c r="P36" s="87"/>
      <c r="Q36" s="87"/>
    </row>
    <row r="37" spans="1:17" ht="16.5" customHeight="1">
      <c r="A37" s="17" t="s">
        <v>36</v>
      </c>
      <c r="B37" s="59" t="s">
        <v>37</v>
      </c>
      <c r="C37" s="60"/>
      <c r="D37" s="18"/>
      <c r="K37" s="88"/>
      <c r="L37" s="87"/>
      <c r="M37" s="87"/>
      <c r="N37" s="89"/>
      <c r="O37" s="87"/>
      <c r="P37" s="90"/>
      <c r="Q37" s="87"/>
    </row>
    <row r="38" spans="1:17" ht="15" customHeight="1">
      <c r="A38" s="17" t="s">
        <v>38</v>
      </c>
      <c r="B38" s="59" t="s">
        <v>39</v>
      </c>
      <c r="C38" s="60"/>
      <c r="D38" s="18"/>
      <c r="K38" s="88"/>
      <c r="L38" s="87"/>
      <c r="M38" s="87"/>
      <c r="N38" s="89"/>
      <c r="O38" s="87"/>
      <c r="P38" s="90"/>
      <c r="Q38" s="87"/>
    </row>
    <row r="39" spans="1:17" ht="17.25" customHeight="1">
      <c r="A39" s="17" t="s">
        <v>40</v>
      </c>
      <c r="B39" s="59" t="s">
        <v>41</v>
      </c>
      <c r="C39" s="60"/>
      <c r="D39" s="18"/>
      <c r="K39" s="88"/>
      <c r="L39" s="87"/>
      <c r="M39" s="87"/>
      <c r="N39" s="89"/>
      <c r="O39" s="87"/>
      <c r="P39" s="90"/>
      <c r="Q39" s="87"/>
    </row>
    <row r="40" spans="1:17" ht="33" customHeight="1">
      <c r="A40" s="17" t="s">
        <v>42</v>
      </c>
      <c r="B40" s="59" t="s">
        <v>43</v>
      </c>
      <c r="C40" s="60"/>
      <c r="D40" s="18">
        <f>6789.6*2.2+13716.23</f>
        <v>28653.350000000002</v>
      </c>
      <c r="K40" s="88"/>
      <c r="L40" s="87"/>
      <c r="M40" s="87"/>
      <c r="N40" s="89"/>
      <c r="O40" s="87"/>
      <c r="P40" s="90"/>
      <c r="Q40" s="87"/>
    </row>
    <row r="41" spans="1:17" ht="33" customHeight="1">
      <c r="A41" s="17" t="s">
        <v>44</v>
      </c>
      <c r="B41" s="59" t="s">
        <v>45</v>
      </c>
      <c r="C41" s="60"/>
      <c r="D41" s="18"/>
      <c r="K41" s="88"/>
      <c r="L41" s="87"/>
      <c r="M41" s="87"/>
      <c r="N41" s="89"/>
      <c r="O41" s="87"/>
      <c r="P41" s="90"/>
      <c r="Q41" s="87"/>
    </row>
    <row r="42" spans="1:17" ht="40.5" customHeight="1">
      <c r="A42" s="17" t="s">
        <v>46</v>
      </c>
      <c r="B42" s="59" t="s">
        <v>45</v>
      </c>
      <c r="C42" s="60"/>
      <c r="D42" s="18"/>
      <c r="K42" s="88"/>
      <c r="L42" s="87"/>
      <c r="M42" s="87"/>
      <c r="N42" s="89"/>
      <c r="O42" s="87"/>
      <c r="P42" s="90"/>
      <c r="Q42" s="87"/>
    </row>
    <row r="43" spans="1:17" ht="25.5" customHeight="1">
      <c r="A43" s="17" t="s">
        <v>47</v>
      </c>
      <c r="B43" s="59" t="s">
        <v>48</v>
      </c>
      <c r="C43" s="60"/>
      <c r="D43" s="18"/>
      <c r="K43" s="88"/>
      <c r="L43" s="87"/>
      <c r="M43" s="87"/>
      <c r="N43" s="89"/>
      <c r="O43" s="87"/>
      <c r="P43" s="90"/>
      <c r="Q43" s="87"/>
    </row>
    <row r="44" spans="1:17" ht="25.5" customHeight="1">
      <c r="A44" s="17" t="s">
        <v>49</v>
      </c>
      <c r="B44" s="59" t="s">
        <v>50</v>
      </c>
      <c r="C44" s="60"/>
      <c r="D44" s="18"/>
      <c r="K44" s="88"/>
      <c r="L44" s="87"/>
      <c r="M44" s="87"/>
      <c r="N44" s="89"/>
      <c r="O44" s="87"/>
      <c r="P44" s="90"/>
      <c r="Q44" s="87"/>
    </row>
    <row r="45" spans="1:17" ht="25.5" customHeight="1">
      <c r="A45" s="17" t="s">
        <v>51</v>
      </c>
      <c r="B45" s="59" t="s">
        <v>31</v>
      </c>
      <c r="C45" s="60"/>
      <c r="D45" s="18"/>
      <c r="K45" s="88"/>
      <c r="L45" s="87"/>
      <c r="M45" s="87"/>
      <c r="N45" s="89"/>
      <c r="O45" s="87"/>
      <c r="P45" s="90"/>
      <c r="Q45" s="87"/>
    </row>
    <row r="46" spans="1:17" ht="25.5">
      <c r="A46" s="17" t="s">
        <v>52</v>
      </c>
      <c r="B46" s="59" t="s">
        <v>53</v>
      </c>
      <c r="C46" s="60"/>
      <c r="D46" s="18">
        <f>6789.6*0.06</f>
        <v>407.37600000000003</v>
      </c>
      <c r="K46" s="87"/>
      <c r="L46" s="87"/>
      <c r="M46" s="87"/>
      <c r="N46" s="90"/>
      <c r="O46" s="87"/>
      <c r="P46" s="90"/>
      <c r="Q46" s="87"/>
    </row>
    <row r="47" spans="1:17" ht="24.75" customHeight="1">
      <c r="A47" s="17" t="s">
        <v>54</v>
      </c>
      <c r="B47" s="59" t="s">
        <v>31</v>
      </c>
      <c r="C47" s="60"/>
      <c r="D47" s="18">
        <f>6789.6*4.99</f>
        <v>33880.10400000001</v>
      </c>
      <c r="K47" s="88"/>
      <c r="L47" s="87"/>
      <c r="M47" s="91"/>
      <c r="N47" s="92"/>
      <c r="O47" s="91"/>
      <c r="P47" s="92"/>
      <c r="Q47" s="87"/>
    </row>
    <row r="48" spans="1:17" ht="12.75">
      <c r="A48" s="19" t="s">
        <v>55</v>
      </c>
      <c r="B48" s="59"/>
      <c r="C48" s="60"/>
      <c r="D48" s="18"/>
      <c r="K48" s="87"/>
      <c r="L48" s="87"/>
      <c r="M48" s="87"/>
      <c r="N48" s="87"/>
      <c r="O48" s="87"/>
      <c r="P48" s="90"/>
      <c r="Q48" s="87"/>
    </row>
    <row r="49" spans="1:17" ht="24.75" customHeight="1">
      <c r="A49" s="17" t="s">
        <v>56</v>
      </c>
      <c r="B49" s="59" t="s">
        <v>41</v>
      </c>
      <c r="C49" s="60"/>
      <c r="D49" s="18">
        <f>6789.6*0.69</f>
        <v>4684.824</v>
      </c>
      <c r="K49" s="87"/>
      <c r="L49" s="87"/>
      <c r="M49" s="87"/>
      <c r="N49" s="87"/>
      <c r="O49" s="87"/>
      <c r="P49" s="90"/>
      <c r="Q49" s="87"/>
    </row>
    <row r="50" spans="1:17" ht="38.25" customHeight="1">
      <c r="A50" s="17" t="s">
        <v>57</v>
      </c>
      <c r="B50" s="59" t="s">
        <v>58</v>
      </c>
      <c r="C50" s="60"/>
      <c r="D50" s="18"/>
      <c r="K50" s="87"/>
      <c r="L50" s="87"/>
      <c r="M50" s="87"/>
      <c r="N50" s="87"/>
      <c r="O50" s="87"/>
      <c r="P50" s="90"/>
      <c r="Q50" s="87"/>
    </row>
    <row r="51" spans="1:17" ht="28.5" customHeight="1">
      <c r="A51" s="17" t="s">
        <v>59</v>
      </c>
      <c r="B51" s="59" t="s">
        <v>60</v>
      </c>
      <c r="C51" s="60"/>
      <c r="D51" s="18">
        <f>6789.6*3.71</f>
        <v>25189.416</v>
      </c>
      <c r="K51" s="87"/>
      <c r="L51" s="87"/>
      <c r="M51" s="87"/>
      <c r="N51" s="87"/>
      <c r="O51" s="91"/>
      <c r="P51" s="92"/>
      <c r="Q51" s="87"/>
    </row>
    <row r="52" spans="1:17" ht="40.5" customHeight="1">
      <c r="A52" s="17" t="s">
        <v>61</v>
      </c>
      <c r="B52" s="59" t="s">
        <v>62</v>
      </c>
      <c r="C52" s="60"/>
      <c r="D52" s="18"/>
      <c r="K52" s="88"/>
      <c r="L52" s="87"/>
      <c r="M52" s="87"/>
      <c r="N52" s="87"/>
      <c r="O52" s="87"/>
      <c r="P52" s="87"/>
      <c r="Q52" s="87"/>
    </row>
    <row r="53" spans="1:17" ht="38.25">
      <c r="A53" s="17" t="s">
        <v>63</v>
      </c>
      <c r="B53" s="59" t="s">
        <v>35</v>
      </c>
      <c r="C53" s="60"/>
      <c r="D53" s="18"/>
      <c r="K53" s="87"/>
      <c r="L53" s="87"/>
      <c r="M53" s="87"/>
      <c r="N53" s="87"/>
      <c r="O53" s="87"/>
      <c r="P53" s="87"/>
      <c r="Q53" s="87"/>
    </row>
    <row r="54" spans="1:17" ht="38.25" customHeight="1">
      <c r="A54" s="17" t="s">
        <v>64</v>
      </c>
      <c r="B54" s="59" t="s">
        <v>65</v>
      </c>
      <c r="C54" s="60"/>
      <c r="D54" s="18"/>
      <c r="K54" s="87"/>
      <c r="L54" s="87"/>
      <c r="M54" s="87"/>
      <c r="N54" s="87"/>
      <c r="O54" s="87"/>
      <c r="P54" s="87"/>
      <c r="Q54" s="87"/>
    </row>
    <row r="55" spans="1:17" ht="31.5" customHeight="1">
      <c r="A55" s="19" t="s">
        <v>68</v>
      </c>
      <c r="B55" s="59" t="s">
        <v>69</v>
      </c>
      <c r="C55" s="60"/>
      <c r="D55" s="18">
        <f>6789.6*16.15</f>
        <v>109652.04</v>
      </c>
      <c r="K55" s="86"/>
      <c r="L55" s="87"/>
      <c r="M55" s="87"/>
      <c r="N55" s="87"/>
      <c r="O55" s="87"/>
      <c r="P55" s="87"/>
      <c r="Q55" s="87"/>
    </row>
    <row r="56" spans="1:17" ht="26.25" customHeight="1">
      <c r="A56" s="17" t="s">
        <v>70</v>
      </c>
      <c r="B56" s="59" t="s">
        <v>69</v>
      </c>
      <c r="C56" s="60"/>
      <c r="D56" s="18"/>
      <c r="K56" s="86"/>
      <c r="L56" s="87"/>
      <c r="M56" s="87"/>
      <c r="N56" s="87"/>
      <c r="O56" s="87"/>
      <c r="P56" s="87"/>
      <c r="Q56" s="87"/>
    </row>
    <row r="57" spans="1:17" ht="24.75" customHeight="1">
      <c r="A57" s="17" t="s">
        <v>71</v>
      </c>
      <c r="B57" s="59" t="s">
        <v>69</v>
      </c>
      <c r="C57" s="60"/>
      <c r="D57" s="18"/>
      <c r="K57" s="86"/>
      <c r="L57" s="87"/>
      <c r="M57" s="87"/>
      <c r="N57" s="87"/>
      <c r="O57" s="87"/>
      <c r="P57" s="87"/>
      <c r="Q57" s="87"/>
    </row>
    <row r="58" spans="1:17" ht="25.5">
      <c r="A58" s="17" t="s">
        <v>72</v>
      </c>
      <c r="B58" s="59" t="s">
        <v>73</v>
      </c>
      <c r="C58" s="60"/>
      <c r="D58" s="18"/>
      <c r="K58" s="86"/>
      <c r="L58" s="87"/>
      <c r="M58" s="87"/>
      <c r="N58" s="87"/>
      <c r="O58" s="87"/>
      <c r="P58" s="87"/>
      <c r="Q58" s="87"/>
    </row>
    <row r="59" spans="1:17" ht="51">
      <c r="A59" s="20" t="s">
        <v>66</v>
      </c>
      <c r="B59" s="59" t="s">
        <v>67</v>
      </c>
      <c r="C59" s="60"/>
      <c r="D59" s="18">
        <f>6789.6*18.64</f>
        <v>126558.14400000001</v>
      </c>
      <c r="K59" s="86"/>
      <c r="L59" s="87"/>
      <c r="M59" s="87"/>
      <c r="N59" s="87"/>
      <c r="O59" s="87"/>
      <c r="P59" s="87"/>
      <c r="Q59" s="87"/>
    </row>
    <row r="60" spans="1:17" ht="12.75">
      <c r="A60" s="19" t="s">
        <v>74</v>
      </c>
      <c r="B60" s="61"/>
      <c r="C60" s="62"/>
      <c r="D60" s="21">
        <f>D33+D48+D55+D40+D47+D39+D46+D49+D51+D59</f>
        <v>381984.134</v>
      </c>
      <c r="K60" s="86"/>
      <c r="L60" s="87"/>
      <c r="M60" s="87"/>
      <c r="N60" s="87"/>
      <c r="O60" s="87"/>
      <c r="P60" s="87"/>
      <c r="Q60" s="87"/>
    </row>
    <row r="61" spans="1:17" ht="25.5">
      <c r="A61" s="17" t="s">
        <v>75</v>
      </c>
      <c r="B61" s="59" t="s">
        <v>156</v>
      </c>
      <c r="C61" s="60"/>
      <c r="D61" s="12">
        <v>1867.7</v>
      </c>
      <c r="K61" s="86"/>
      <c r="L61" s="87"/>
      <c r="M61" s="87"/>
      <c r="N61" s="87"/>
      <c r="O61" s="87"/>
      <c r="P61" s="87"/>
      <c r="Q61" s="87"/>
    </row>
    <row r="62" spans="1:17" ht="12.75">
      <c r="A62" s="11"/>
      <c r="B62" s="11"/>
      <c r="C62" s="11"/>
      <c r="K62" s="93"/>
      <c r="L62" s="91"/>
      <c r="M62" s="91"/>
      <c r="N62" s="91"/>
      <c r="O62" s="91"/>
      <c r="P62" s="91"/>
      <c r="Q62" s="87"/>
    </row>
    <row r="63" spans="1:17" ht="12.75">
      <c r="A63" s="22" t="s">
        <v>76</v>
      </c>
      <c r="B63" s="22"/>
      <c r="C63" s="22"/>
      <c r="K63" s="86"/>
      <c r="L63" s="87"/>
      <c r="M63" s="87"/>
      <c r="N63" s="87"/>
      <c r="O63" s="87"/>
      <c r="P63" s="87"/>
      <c r="Q63" s="87"/>
    </row>
    <row r="64" spans="1:3" ht="12.75">
      <c r="A64" s="22" t="s">
        <v>77</v>
      </c>
      <c r="B64" s="22"/>
      <c r="C64" s="22"/>
    </row>
    <row r="65" spans="1:3" ht="12.75">
      <c r="A65" s="22" t="s">
        <v>78</v>
      </c>
      <c r="B65" s="22"/>
      <c r="C65" s="22"/>
    </row>
    <row r="66" spans="1:3" ht="12.75">
      <c r="A66" s="22" t="s">
        <v>79</v>
      </c>
      <c r="B66" s="22"/>
      <c r="C66" s="22"/>
    </row>
    <row r="67" spans="1:3" ht="12.75">
      <c r="A67" s="22" t="s">
        <v>84</v>
      </c>
      <c r="B67" s="1"/>
      <c r="C67" s="1"/>
    </row>
    <row r="68" spans="1:3" ht="12.75">
      <c r="A68" s="22" t="s">
        <v>85</v>
      </c>
      <c r="B68" s="1"/>
      <c r="C68" s="1"/>
    </row>
    <row r="69" spans="1:3" ht="12.75">
      <c r="A69" s="22" t="s">
        <v>86</v>
      </c>
      <c r="B69" s="1"/>
      <c r="C69" s="1"/>
    </row>
    <row r="70" spans="1:3" ht="12.75">
      <c r="A70" s="22"/>
      <c r="B70" s="1"/>
      <c r="C70" s="1"/>
    </row>
    <row r="71" spans="1:3" ht="12.75">
      <c r="A71" s="22"/>
      <c r="B71" s="1"/>
      <c r="C71" s="1"/>
    </row>
    <row r="72" spans="1:3" ht="12.75">
      <c r="A72" s="22" t="s">
        <v>80</v>
      </c>
      <c r="B72" s="22"/>
      <c r="C72" s="1"/>
    </row>
  </sheetData>
  <mergeCells count="53">
    <mergeCell ref="A3:C3"/>
    <mergeCell ref="A4:C4"/>
    <mergeCell ref="A5:C5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C28"/>
    <mergeCell ref="A29:D29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61:C61"/>
    <mergeCell ref="B57:C57"/>
    <mergeCell ref="B58:C58"/>
    <mergeCell ref="B59:C59"/>
    <mergeCell ref="B60:C60"/>
  </mergeCells>
  <printOptions/>
  <pageMargins left="0.75" right="0.75" top="1" bottom="1" header="0.5" footer="0.5"/>
  <pageSetup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Q72"/>
  <sheetViews>
    <sheetView workbookViewId="0" topLeftCell="A55">
      <selection activeCell="A5" sqref="A5:E72"/>
    </sheetView>
  </sheetViews>
  <sheetFormatPr defaultColWidth="9.140625" defaultRowHeight="12.75"/>
  <cols>
    <col min="1" max="1" width="50.140625" style="0" customWidth="1"/>
    <col min="2" max="2" width="1.28515625" style="0" customWidth="1"/>
    <col min="3" max="3" width="15.00390625" style="0" customWidth="1"/>
    <col min="4" max="4" width="15.57421875" style="0" customWidth="1"/>
    <col min="5" max="5" width="12.7109375" style="0" customWidth="1"/>
    <col min="6" max="6" width="14.28125" style="0" customWidth="1"/>
    <col min="7" max="7" width="15.00390625" style="0" customWidth="1"/>
    <col min="8" max="8" width="9.421875" style="0" customWidth="1"/>
  </cols>
  <sheetData>
    <row r="3" spans="1:9" ht="12.75">
      <c r="A3" s="1"/>
      <c r="B3" s="1"/>
      <c r="C3" s="1"/>
      <c r="D3" s="1"/>
      <c r="E3" s="1"/>
      <c r="F3" s="2"/>
      <c r="G3" s="2"/>
      <c r="H3" s="2"/>
      <c r="I3" s="2"/>
    </row>
    <row r="4" spans="1:9" ht="12.75">
      <c r="A4" s="1"/>
      <c r="B4" s="1"/>
      <c r="C4" s="1"/>
      <c r="D4" s="1"/>
      <c r="E4" s="1"/>
      <c r="F4" s="2"/>
      <c r="G4" s="2"/>
      <c r="H4" s="2"/>
      <c r="I4" s="2"/>
    </row>
    <row r="5" spans="1:4" ht="12.75">
      <c r="A5" s="44" t="s">
        <v>0</v>
      </c>
      <c r="B5" s="44"/>
      <c r="C5" s="44"/>
      <c r="D5" s="1"/>
    </row>
    <row r="6" spans="1:4" ht="12.75">
      <c r="A6" s="44" t="s">
        <v>1</v>
      </c>
      <c r="B6" s="44"/>
      <c r="C6" s="44"/>
      <c r="D6" s="1"/>
    </row>
    <row r="7" spans="1:4" ht="12.75">
      <c r="A7" s="44" t="s">
        <v>2</v>
      </c>
      <c r="B7" s="44"/>
      <c r="C7" s="44"/>
      <c r="D7" s="2"/>
    </row>
    <row r="8" spans="1:4" ht="12.75">
      <c r="A8" s="3"/>
      <c r="B8" s="4"/>
      <c r="C8" s="4"/>
      <c r="D8" s="2"/>
    </row>
    <row r="9" spans="1:4" ht="12.75">
      <c r="A9" s="5" t="s">
        <v>92</v>
      </c>
      <c r="D9" s="2"/>
    </row>
    <row r="10" ht="12.75">
      <c r="D10" s="2"/>
    </row>
    <row r="11" spans="1:4" ht="12.75">
      <c r="A11" t="s">
        <v>93</v>
      </c>
      <c r="D11" s="2"/>
    </row>
    <row r="12" spans="1:11" ht="51">
      <c r="A12" s="45" t="s">
        <v>5</v>
      </c>
      <c r="B12" s="46"/>
      <c r="C12" s="6" t="s">
        <v>6</v>
      </c>
      <c r="D12" s="6" t="s">
        <v>7</v>
      </c>
      <c r="E12" s="6" t="s">
        <v>89</v>
      </c>
      <c r="K12" s="81"/>
    </row>
    <row r="13" spans="1:11" ht="12.75">
      <c r="A13" s="47" t="s">
        <v>8</v>
      </c>
      <c r="B13" s="48"/>
      <c r="C13" s="7">
        <v>0</v>
      </c>
      <c r="D13" s="8">
        <v>0</v>
      </c>
      <c r="E13" s="7">
        <v>0</v>
      </c>
      <c r="K13" s="82"/>
    </row>
    <row r="14" spans="1:11" ht="12.75">
      <c r="A14" s="47" t="s">
        <v>9</v>
      </c>
      <c r="B14" s="48"/>
      <c r="C14" s="8"/>
      <c r="D14" s="6"/>
      <c r="E14" s="8">
        <v>111293</v>
      </c>
      <c r="K14" s="83"/>
    </row>
    <row r="15" spans="1:11" ht="12.75">
      <c r="A15" s="49" t="s">
        <v>10</v>
      </c>
      <c r="B15" s="50"/>
      <c r="C15" s="9">
        <f>C17+C18+C19+C20</f>
        <v>425934.592</v>
      </c>
      <c r="D15" s="10">
        <f>17248.28+11755.3</f>
        <v>29003.579999999998</v>
      </c>
      <c r="E15" s="9">
        <v>45424.8</v>
      </c>
      <c r="K15" s="84"/>
    </row>
    <row r="16" spans="1:11" ht="12.75">
      <c r="A16" s="49" t="s">
        <v>11</v>
      </c>
      <c r="B16" s="50"/>
      <c r="C16" s="9"/>
      <c r="D16" s="10"/>
      <c r="E16" s="9"/>
      <c r="K16" s="84"/>
    </row>
    <row r="17" spans="1:11" ht="12.75">
      <c r="A17" s="51" t="s">
        <v>12</v>
      </c>
      <c r="B17" s="52"/>
      <c r="C17" s="9">
        <f>D35+D42+D48+D49</f>
        <v>129234.94</v>
      </c>
      <c r="D17" s="10"/>
      <c r="E17" s="9"/>
      <c r="K17" s="84"/>
    </row>
    <row r="18" spans="1:11" ht="12.75">
      <c r="A18" s="51" t="s">
        <v>13</v>
      </c>
      <c r="B18" s="52"/>
      <c r="C18" s="9">
        <f>D51+D53</f>
        <v>33311.520000000004</v>
      </c>
      <c r="D18" s="10"/>
      <c r="E18" s="9"/>
      <c r="K18" s="84"/>
    </row>
    <row r="19" spans="1:11" ht="12.75">
      <c r="A19" s="51" t="s">
        <v>14</v>
      </c>
      <c r="B19" s="52"/>
      <c r="C19" s="9">
        <f>D57</f>
        <v>122268.42</v>
      </c>
      <c r="D19" s="10"/>
      <c r="E19" s="9"/>
      <c r="K19" s="84"/>
    </row>
    <row r="20" spans="1:11" ht="12.75">
      <c r="A20" s="51" t="s">
        <v>15</v>
      </c>
      <c r="B20" s="52"/>
      <c r="C20" s="9">
        <f>D61</f>
        <v>141119.712</v>
      </c>
      <c r="D20" s="10"/>
      <c r="E20" s="9"/>
      <c r="K20" s="84"/>
    </row>
    <row r="21" spans="1:11" ht="12.75">
      <c r="A21" s="49" t="s">
        <v>16</v>
      </c>
      <c r="B21" s="50"/>
      <c r="C21" s="9">
        <f>C13+C15-C23</f>
        <v>391714.43200000003</v>
      </c>
      <c r="D21" s="10">
        <f>D13+D15-D23</f>
        <v>26146.35</v>
      </c>
      <c r="E21" s="9">
        <f>E13+E15-E23</f>
        <v>41639.4</v>
      </c>
      <c r="K21" s="84"/>
    </row>
    <row r="22" spans="1:11" ht="12.75">
      <c r="A22" s="49" t="s">
        <v>17</v>
      </c>
      <c r="B22" s="50"/>
      <c r="C22" s="10">
        <v>0</v>
      </c>
      <c r="D22" s="10"/>
      <c r="E22" s="10"/>
      <c r="K22" s="37"/>
    </row>
    <row r="23" spans="1:11" ht="12.75">
      <c r="A23" s="49" t="s">
        <v>18</v>
      </c>
      <c r="B23" s="50"/>
      <c r="C23" s="10">
        <v>34220.16</v>
      </c>
      <c r="D23" s="10">
        <f>1699.18+1158.05</f>
        <v>2857.23</v>
      </c>
      <c r="E23" s="9">
        <v>3785.4</v>
      </c>
      <c r="K23" s="37"/>
    </row>
    <row r="24" spans="1:11" ht="12.75">
      <c r="A24" s="49" t="s">
        <v>83</v>
      </c>
      <c r="B24" s="50"/>
      <c r="C24" s="9">
        <f>D62</f>
        <v>425934.592</v>
      </c>
      <c r="D24" s="10">
        <v>0</v>
      </c>
      <c r="E24" s="9"/>
      <c r="K24" s="84"/>
    </row>
    <row r="25" spans="1:11" ht="12.75">
      <c r="A25" s="49" t="s">
        <v>19</v>
      </c>
      <c r="B25" s="50"/>
      <c r="C25" s="9">
        <v>0</v>
      </c>
      <c r="D25" s="10">
        <v>0</v>
      </c>
      <c r="E25" s="9">
        <v>0</v>
      </c>
      <c r="K25" s="84"/>
    </row>
    <row r="26" spans="1:17" ht="12.75">
      <c r="A26" s="49" t="s">
        <v>20</v>
      </c>
      <c r="B26" s="50"/>
      <c r="C26" s="9">
        <v>0</v>
      </c>
      <c r="D26" s="10">
        <v>0</v>
      </c>
      <c r="E26" s="9">
        <f>E14+E15-E23</f>
        <v>152932.4</v>
      </c>
      <c r="G26" s="87"/>
      <c r="H26" s="87"/>
      <c r="I26" s="87"/>
      <c r="J26" s="87"/>
      <c r="K26" s="94"/>
      <c r="L26" s="87"/>
      <c r="M26" s="87"/>
      <c r="N26" s="87"/>
      <c r="O26" s="87"/>
      <c r="P26" s="87"/>
      <c r="Q26" s="87"/>
    </row>
    <row r="27" spans="1:17" ht="25.5" customHeight="1">
      <c r="A27" s="49" t="s">
        <v>21</v>
      </c>
      <c r="B27" s="50"/>
      <c r="C27" s="9">
        <v>0</v>
      </c>
      <c r="D27" s="10">
        <v>0</v>
      </c>
      <c r="E27" s="9"/>
      <c r="G27" s="87"/>
      <c r="H27" s="87"/>
      <c r="I27" s="87"/>
      <c r="J27" s="87"/>
      <c r="K27" s="94"/>
      <c r="L27" s="87"/>
      <c r="M27" s="87"/>
      <c r="N27" s="87"/>
      <c r="O27" s="87"/>
      <c r="P27" s="87"/>
      <c r="Q27" s="87"/>
    </row>
    <row r="28" spans="1:17" ht="28.5" customHeight="1">
      <c r="A28" s="49" t="s">
        <v>22</v>
      </c>
      <c r="B28" s="50"/>
      <c r="C28" s="9">
        <v>0</v>
      </c>
      <c r="D28" s="10">
        <v>0</v>
      </c>
      <c r="E28" s="9"/>
      <c r="G28" s="87"/>
      <c r="H28" s="87"/>
      <c r="I28" s="87"/>
      <c r="J28" s="87"/>
      <c r="K28" s="94"/>
      <c r="L28" s="87"/>
      <c r="M28" s="87"/>
      <c r="N28" s="87"/>
      <c r="O28" s="87"/>
      <c r="P28" s="87"/>
      <c r="Q28" s="87"/>
    </row>
    <row r="29" spans="1:17" ht="12.75">
      <c r="A29" s="2"/>
      <c r="B29" s="2"/>
      <c r="C29" s="2"/>
      <c r="D29" s="2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</row>
    <row r="30" spans="1:17" ht="12.75">
      <c r="A30" s="53" t="s">
        <v>23</v>
      </c>
      <c r="B30" s="53"/>
      <c r="C30" s="53"/>
      <c r="D30" s="2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</row>
    <row r="31" spans="1:17" ht="12.75" customHeight="1">
      <c r="A31" s="53" t="s">
        <v>24</v>
      </c>
      <c r="B31" s="53"/>
      <c r="C31" s="53"/>
      <c r="D31" s="53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</row>
    <row r="32" spans="1:17" ht="12.75">
      <c r="A32" s="11"/>
      <c r="B32" s="11"/>
      <c r="C32" s="11"/>
      <c r="D32" s="2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</row>
    <row r="33" spans="1:17" ht="25.5" customHeight="1">
      <c r="A33" s="12" t="s">
        <v>25</v>
      </c>
      <c r="B33" s="54" t="s">
        <v>26</v>
      </c>
      <c r="C33" s="55"/>
      <c r="D33" s="12" t="s">
        <v>27</v>
      </c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</row>
    <row r="34" spans="1:17" ht="12.75">
      <c r="A34" s="13" t="s">
        <v>28</v>
      </c>
      <c r="B34" s="56"/>
      <c r="C34" s="57"/>
      <c r="D34" s="14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</row>
    <row r="35" spans="1:17" ht="12.75">
      <c r="A35" s="15" t="s">
        <v>29</v>
      </c>
      <c r="B35" s="58"/>
      <c r="C35" s="57"/>
      <c r="D35" s="16">
        <f>7570.8*7.8</f>
        <v>59052.24</v>
      </c>
      <c r="G35" s="87"/>
      <c r="H35" s="87"/>
      <c r="I35" s="87"/>
      <c r="J35" s="87"/>
      <c r="K35" s="86"/>
      <c r="L35" s="87"/>
      <c r="M35" s="87"/>
      <c r="N35" s="87"/>
      <c r="O35" s="87"/>
      <c r="P35" s="87"/>
      <c r="Q35" s="87"/>
    </row>
    <row r="36" spans="1:17" ht="25.5" customHeight="1">
      <c r="A36" s="17" t="s">
        <v>30</v>
      </c>
      <c r="B36" s="59" t="s">
        <v>31</v>
      </c>
      <c r="C36" s="60"/>
      <c r="D36" s="18"/>
      <c r="G36" s="87"/>
      <c r="H36" s="87"/>
      <c r="I36" s="87"/>
      <c r="J36" s="87"/>
      <c r="K36" s="86"/>
      <c r="L36" s="87"/>
      <c r="M36" s="87"/>
      <c r="N36" s="87"/>
      <c r="O36" s="87"/>
      <c r="P36" s="87"/>
      <c r="Q36" s="87"/>
    </row>
    <row r="37" spans="1:17" ht="18" customHeight="1">
      <c r="A37" s="17" t="s">
        <v>32</v>
      </c>
      <c r="B37" s="59" t="s">
        <v>33</v>
      </c>
      <c r="C37" s="60"/>
      <c r="D37" s="18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</row>
    <row r="38" spans="1:17" ht="13.5" customHeight="1">
      <c r="A38" s="17" t="s">
        <v>34</v>
      </c>
      <c r="B38" s="59" t="s">
        <v>35</v>
      </c>
      <c r="C38" s="60"/>
      <c r="D38" s="18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</row>
    <row r="39" spans="1:17" ht="22.5" customHeight="1">
      <c r="A39" s="17" t="s">
        <v>36</v>
      </c>
      <c r="B39" s="59" t="s">
        <v>37</v>
      </c>
      <c r="C39" s="60"/>
      <c r="D39" s="18"/>
      <c r="G39" s="87"/>
      <c r="H39" s="87"/>
      <c r="I39" s="87"/>
      <c r="J39" s="87"/>
      <c r="K39" s="88"/>
      <c r="L39" s="87"/>
      <c r="M39" s="87"/>
      <c r="N39" s="89"/>
      <c r="O39" s="87"/>
      <c r="P39" s="90"/>
      <c r="Q39" s="87"/>
    </row>
    <row r="40" spans="1:17" ht="23.25" customHeight="1">
      <c r="A40" s="17" t="s">
        <v>38</v>
      </c>
      <c r="B40" s="59" t="s">
        <v>39</v>
      </c>
      <c r="C40" s="60"/>
      <c r="D40" s="18"/>
      <c r="G40" s="87"/>
      <c r="H40" s="87"/>
      <c r="I40" s="87"/>
      <c r="J40" s="87"/>
      <c r="K40" s="88"/>
      <c r="L40" s="87"/>
      <c r="M40" s="87"/>
      <c r="N40" s="89"/>
      <c r="O40" s="87"/>
      <c r="P40" s="90"/>
      <c r="Q40" s="87"/>
    </row>
    <row r="41" spans="1:17" ht="24" customHeight="1">
      <c r="A41" s="17" t="s">
        <v>40</v>
      </c>
      <c r="B41" s="59" t="s">
        <v>41</v>
      </c>
      <c r="C41" s="60"/>
      <c r="D41" s="18"/>
      <c r="G41" s="87"/>
      <c r="H41" s="87"/>
      <c r="I41" s="87"/>
      <c r="J41" s="87"/>
      <c r="K41" s="88"/>
      <c r="L41" s="87"/>
      <c r="M41" s="87"/>
      <c r="N41" s="89"/>
      <c r="O41" s="87"/>
      <c r="P41" s="90"/>
      <c r="Q41" s="87"/>
    </row>
    <row r="42" spans="1:17" ht="33" customHeight="1">
      <c r="A42" s="17" t="s">
        <v>42</v>
      </c>
      <c r="B42" s="59" t="s">
        <v>43</v>
      </c>
      <c r="C42" s="60"/>
      <c r="D42" s="18">
        <f>7570.8*2.2+15294.4</f>
        <v>31950.160000000003</v>
      </c>
      <c r="G42" s="87"/>
      <c r="H42" s="87"/>
      <c r="I42" s="87"/>
      <c r="J42" s="87"/>
      <c r="K42" s="88"/>
      <c r="L42" s="87"/>
      <c r="M42" s="87"/>
      <c r="N42" s="89"/>
      <c r="O42" s="87"/>
      <c r="P42" s="90"/>
      <c r="Q42" s="87"/>
    </row>
    <row r="43" spans="1:17" ht="33" customHeight="1">
      <c r="A43" s="17" t="s">
        <v>44</v>
      </c>
      <c r="B43" s="59" t="s">
        <v>45</v>
      </c>
      <c r="C43" s="60"/>
      <c r="D43" s="18"/>
      <c r="G43" s="87"/>
      <c r="H43" s="87"/>
      <c r="I43" s="87"/>
      <c r="J43" s="87"/>
      <c r="K43" s="88"/>
      <c r="L43" s="87"/>
      <c r="M43" s="87"/>
      <c r="N43" s="89"/>
      <c r="O43" s="87"/>
      <c r="P43" s="90"/>
      <c r="Q43" s="87"/>
    </row>
    <row r="44" spans="1:17" ht="40.5" customHeight="1">
      <c r="A44" s="17" t="s">
        <v>46</v>
      </c>
      <c r="B44" s="59" t="s">
        <v>45</v>
      </c>
      <c r="C44" s="60"/>
      <c r="D44" s="18"/>
      <c r="G44" s="87"/>
      <c r="H44" s="87"/>
      <c r="I44" s="87"/>
      <c r="J44" s="87"/>
      <c r="K44" s="88"/>
      <c r="L44" s="87"/>
      <c r="M44" s="87"/>
      <c r="N44" s="89"/>
      <c r="O44" s="87"/>
      <c r="P44" s="90"/>
      <c r="Q44" s="87"/>
    </row>
    <row r="45" spans="1:17" ht="25.5" customHeight="1">
      <c r="A45" s="17" t="s">
        <v>47</v>
      </c>
      <c r="B45" s="59" t="s">
        <v>48</v>
      </c>
      <c r="C45" s="60"/>
      <c r="D45" s="18"/>
      <c r="G45" s="87"/>
      <c r="H45" s="87"/>
      <c r="I45" s="87"/>
      <c r="J45" s="87"/>
      <c r="K45" s="88"/>
      <c r="L45" s="87"/>
      <c r="M45" s="87"/>
      <c r="N45" s="89"/>
      <c r="O45" s="87"/>
      <c r="P45" s="90"/>
      <c r="Q45" s="87"/>
    </row>
    <row r="46" spans="1:17" ht="25.5">
      <c r="A46" s="17" t="s">
        <v>49</v>
      </c>
      <c r="B46" s="59" t="s">
        <v>50</v>
      </c>
      <c r="C46" s="60"/>
      <c r="D46" s="18"/>
      <c r="G46" s="87"/>
      <c r="H46" s="87"/>
      <c r="I46" s="87"/>
      <c r="J46" s="87"/>
      <c r="K46" s="88"/>
      <c r="L46" s="87"/>
      <c r="M46" s="87"/>
      <c r="N46" s="89"/>
      <c r="O46" s="87"/>
      <c r="P46" s="90"/>
      <c r="Q46" s="87"/>
    </row>
    <row r="47" spans="1:17" ht="25.5" customHeight="1">
      <c r="A47" s="17" t="s">
        <v>51</v>
      </c>
      <c r="B47" s="59" t="s">
        <v>31</v>
      </c>
      <c r="C47" s="60"/>
      <c r="D47" s="18"/>
      <c r="G47" s="87"/>
      <c r="H47" s="87"/>
      <c r="I47" s="87"/>
      <c r="J47" s="87"/>
      <c r="K47" s="88"/>
      <c r="L47" s="87"/>
      <c r="M47" s="87"/>
      <c r="N47" s="89"/>
      <c r="O47" s="87"/>
      <c r="P47" s="90"/>
      <c r="Q47" s="87"/>
    </row>
    <row r="48" spans="1:17" ht="25.5">
      <c r="A48" s="17" t="s">
        <v>52</v>
      </c>
      <c r="B48" s="59" t="s">
        <v>53</v>
      </c>
      <c r="C48" s="60"/>
      <c r="D48" s="18">
        <f>7570.8*0.06</f>
        <v>454.248</v>
      </c>
      <c r="G48" s="87"/>
      <c r="H48" s="87"/>
      <c r="I48" s="87"/>
      <c r="J48" s="87"/>
      <c r="K48" s="87"/>
      <c r="L48" s="87"/>
      <c r="M48" s="87"/>
      <c r="N48" s="90"/>
      <c r="O48" s="87"/>
      <c r="P48" s="90"/>
      <c r="Q48" s="87"/>
    </row>
    <row r="49" spans="1:17" ht="24.75" customHeight="1">
      <c r="A49" s="17" t="s">
        <v>54</v>
      </c>
      <c r="B49" s="59" t="s">
        <v>31</v>
      </c>
      <c r="C49" s="60"/>
      <c r="D49" s="18">
        <f>7570.8*4.99</f>
        <v>37778.292</v>
      </c>
      <c r="G49" s="87"/>
      <c r="H49" s="87"/>
      <c r="I49" s="87"/>
      <c r="J49" s="87"/>
      <c r="K49" s="88"/>
      <c r="L49" s="87"/>
      <c r="M49" s="91"/>
      <c r="N49" s="92"/>
      <c r="O49" s="91"/>
      <c r="P49" s="92"/>
      <c r="Q49" s="87"/>
    </row>
    <row r="50" spans="1:17" ht="12.75">
      <c r="A50" s="19" t="s">
        <v>55</v>
      </c>
      <c r="B50" s="59"/>
      <c r="C50" s="60"/>
      <c r="D50" s="18"/>
      <c r="G50" s="87"/>
      <c r="H50" s="87"/>
      <c r="I50" s="87"/>
      <c r="J50" s="87"/>
      <c r="K50" s="87"/>
      <c r="L50" s="87"/>
      <c r="M50" s="87"/>
      <c r="N50" s="87"/>
      <c r="O50" s="87"/>
      <c r="P50" s="90"/>
      <c r="Q50" s="87"/>
    </row>
    <row r="51" spans="1:17" ht="24.75" customHeight="1">
      <c r="A51" s="17" t="s">
        <v>56</v>
      </c>
      <c r="B51" s="59" t="s">
        <v>41</v>
      </c>
      <c r="C51" s="60"/>
      <c r="D51" s="18">
        <f>7570.8*0.69</f>
        <v>5223.852</v>
      </c>
      <c r="G51" s="87"/>
      <c r="H51" s="87"/>
      <c r="I51" s="87"/>
      <c r="J51" s="87"/>
      <c r="K51" s="87"/>
      <c r="L51" s="87"/>
      <c r="M51" s="87"/>
      <c r="N51" s="87"/>
      <c r="O51" s="87"/>
      <c r="P51" s="90"/>
      <c r="Q51" s="87"/>
    </row>
    <row r="52" spans="1:17" ht="38.25" customHeight="1">
      <c r="A52" s="17" t="s">
        <v>57</v>
      </c>
      <c r="B52" s="59" t="s">
        <v>58</v>
      </c>
      <c r="C52" s="60"/>
      <c r="D52" s="18"/>
      <c r="G52" s="87"/>
      <c r="H52" s="87"/>
      <c r="I52" s="87"/>
      <c r="J52" s="87"/>
      <c r="K52" s="87"/>
      <c r="L52" s="87"/>
      <c r="M52" s="87"/>
      <c r="N52" s="87"/>
      <c r="O52" s="87"/>
      <c r="P52" s="90"/>
      <c r="Q52" s="87"/>
    </row>
    <row r="53" spans="1:17" ht="28.5" customHeight="1">
      <c r="A53" s="17" t="s">
        <v>59</v>
      </c>
      <c r="B53" s="59" t="s">
        <v>60</v>
      </c>
      <c r="C53" s="60"/>
      <c r="D53" s="18">
        <f>7570.8*3.71</f>
        <v>28087.668</v>
      </c>
      <c r="G53" s="87"/>
      <c r="H53" s="87"/>
      <c r="I53" s="87"/>
      <c r="J53" s="87"/>
      <c r="K53" s="87"/>
      <c r="L53" s="87"/>
      <c r="M53" s="87"/>
      <c r="N53" s="87"/>
      <c r="O53" s="91"/>
      <c r="P53" s="92"/>
      <c r="Q53" s="87"/>
    </row>
    <row r="54" spans="1:17" ht="40.5" customHeight="1">
      <c r="A54" s="17" t="s">
        <v>61</v>
      </c>
      <c r="B54" s="59" t="s">
        <v>62</v>
      </c>
      <c r="C54" s="60"/>
      <c r="D54" s="18"/>
      <c r="G54" s="87"/>
      <c r="H54" s="87"/>
      <c r="I54" s="87"/>
      <c r="J54" s="87"/>
      <c r="K54" s="88"/>
      <c r="L54" s="87"/>
      <c r="M54" s="87"/>
      <c r="N54" s="87"/>
      <c r="O54" s="87"/>
      <c r="P54" s="87"/>
      <c r="Q54" s="87"/>
    </row>
    <row r="55" spans="1:17" ht="38.25">
      <c r="A55" s="17" t="s">
        <v>63</v>
      </c>
      <c r="B55" s="59" t="s">
        <v>35</v>
      </c>
      <c r="C55" s="60"/>
      <c r="D55" s="18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</row>
    <row r="56" spans="1:17" ht="38.25" customHeight="1">
      <c r="A56" s="17" t="s">
        <v>64</v>
      </c>
      <c r="B56" s="59" t="s">
        <v>65</v>
      </c>
      <c r="C56" s="60"/>
      <c r="D56" s="18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</row>
    <row r="57" spans="1:17" ht="31.5" customHeight="1">
      <c r="A57" s="19" t="s">
        <v>68</v>
      </c>
      <c r="B57" s="59" t="s">
        <v>69</v>
      </c>
      <c r="C57" s="60"/>
      <c r="D57" s="18">
        <f>7570.8*16.15</f>
        <v>122268.42</v>
      </c>
      <c r="G57" s="87"/>
      <c r="H57" s="87"/>
      <c r="I57" s="87"/>
      <c r="J57" s="87"/>
      <c r="K57" s="86"/>
      <c r="L57" s="87"/>
      <c r="M57" s="87"/>
      <c r="N57" s="87"/>
      <c r="O57" s="87"/>
      <c r="P57" s="87"/>
      <c r="Q57" s="87"/>
    </row>
    <row r="58" spans="1:17" ht="26.25" customHeight="1">
      <c r="A58" s="17" t="s">
        <v>70</v>
      </c>
      <c r="B58" s="59" t="s">
        <v>69</v>
      </c>
      <c r="C58" s="60"/>
      <c r="D58" s="18"/>
      <c r="G58" s="87"/>
      <c r="H58" s="87"/>
      <c r="I58" s="87"/>
      <c r="J58" s="87"/>
      <c r="K58" s="86"/>
      <c r="L58" s="87"/>
      <c r="M58" s="87"/>
      <c r="N58" s="87"/>
      <c r="O58" s="87"/>
      <c r="P58" s="87"/>
      <c r="Q58" s="87"/>
    </row>
    <row r="59" spans="1:17" ht="24.75" customHeight="1">
      <c r="A59" s="17" t="s">
        <v>71</v>
      </c>
      <c r="B59" s="59" t="s">
        <v>69</v>
      </c>
      <c r="C59" s="60"/>
      <c r="D59" s="18"/>
      <c r="G59" s="87"/>
      <c r="H59" s="87"/>
      <c r="I59" s="87"/>
      <c r="J59" s="87"/>
      <c r="K59" s="86"/>
      <c r="L59" s="87"/>
      <c r="M59" s="87"/>
      <c r="N59" s="87"/>
      <c r="O59" s="87"/>
      <c r="P59" s="87"/>
      <c r="Q59" s="87"/>
    </row>
    <row r="60" spans="1:17" ht="25.5">
      <c r="A60" s="17" t="s">
        <v>72</v>
      </c>
      <c r="B60" s="59" t="s">
        <v>73</v>
      </c>
      <c r="C60" s="60"/>
      <c r="D60" s="18"/>
      <c r="G60" s="87"/>
      <c r="H60" s="87"/>
      <c r="I60" s="87"/>
      <c r="J60" s="87"/>
      <c r="K60" s="86"/>
      <c r="L60" s="87"/>
      <c r="M60" s="87"/>
      <c r="N60" s="87"/>
      <c r="O60" s="87"/>
      <c r="P60" s="87"/>
      <c r="Q60" s="87"/>
    </row>
    <row r="61" spans="1:17" ht="51">
      <c r="A61" s="20" t="s">
        <v>66</v>
      </c>
      <c r="B61" s="59" t="s">
        <v>67</v>
      </c>
      <c r="C61" s="60"/>
      <c r="D61" s="18">
        <f>7570.8*18.64</f>
        <v>141119.712</v>
      </c>
      <c r="G61" s="87"/>
      <c r="H61" s="87"/>
      <c r="I61" s="87"/>
      <c r="J61" s="87"/>
      <c r="K61" s="86"/>
      <c r="L61" s="87"/>
      <c r="M61" s="87"/>
      <c r="N61" s="87"/>
      <c r="O61" s="87"/>
      <c r="P61" s="87"/>
      <c r="Q61" s="87"/>
    </row>
    <row r="62" spans="1:17" ht="12.75">
      <c r="A62" s="19" t="s">
        <v>74</v>
      </c>
      <c r="B62" s="61"/>
      <c r="C62" s="62"/>
      <c r="D62" s="21">
        <f>D35+D50+D57+D42+D49+D41+D48+D51+D53+D61</f>
        <v>425934.592</v>
      </c>
      <c r="G62" s="87"/>
      <c r="H62" s="87"/>
      <c r="I62" s="87"/>
      <c r="J62" s="87"/>
      <c r="K62" s="86"/>
      <c r="L62" s="87"/>
      <c r="M62" s="87"/>
      <c r="N62" s="87"/>
      <c r="O62" s="87"/>
      <c r="P62" s="87"/>
      <c r="Q62" s="87"/>
    </row>
    <row r="63" spans="1:17" ht="12.75">
      <c r="A63" s="11"/>
      <c r="B63" s="11"/>
      <c r="C63" s="11"/>
      <c r="G63" s="87"/>
      <c r="H63" s="87"/>
      <c r="I63" s="87"/>
      <c r="J63" s="87"/>
      <c r="K63" s="93"/>
      <c r="L63" s="91"/>
      <c r="M63" s="91"/>
      <c r="N63" s="91"/>
      <c r="O63" s="91"/>
      <c r="P63" s="91"/>
      <c r="Q63" s="87"/>
    </row>
    <row r="64" spans="1:17" ht="12.75">
      <c r="A64" s="22" t="s">
        <v>76</v>
      </c>
      <c r="B64" s="22"/>
      <c r="C64" s="22"/>
      <c r="G64" s="87"/>
      <c r="H64" s="87"/>
      <c r="I64" s="87"/>
      <c r="J64" s="87"/>
      <c r="K64" s="86"/>
      <c r="L64" s="87"/>
      <c r="M64" s="87"/>
      <c r="N64" s="87"/>
      <c r="O64" s="87"/>
      <c r="P64" s="87"/>
      <c r="Q64" s="87"/>
    </row>
    <row r="65" spans="1:17" ht="12.75">
      <c r="A65" s="22" t="s">
        <v>77</v>
      </c>
      <c r="B65" s="22"/>
      <c r="C65" s="22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</row>
    <row r="66" spans="1:17" ht="12.75">
      <c r="A66" s="22" t="s">
        <v>78</v>
      </c>
      <c r="B66" s="22"/>
      <c r="C66" s="22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</row>
    <row r="67" spans="1:17" ht="12.75">
      <c r="A67" s="22" t="s">
        <v>79</v>
      </c>
      <c r="B67" s="22"/>
      <c r="C67" s="22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</row>
    <row r="68" spans="1:17" ht="12.75">
      <c r="A68" s="22" t="s">
        <v>84</v>
      </c>
      <c r="B68" s="1"/>
      <c r="C68" s="1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</row>
    <row r="69" spans="1:17" ht="12.75">
      <c r="A69" s="22" t="s">
        <v>85</v>
      </c>
      <c r="B69" s="1"/>
      <c r="C69" s="1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</row>
    <row r="70" spans="1:3" ht="12.75">
      <c r="A70" s="22" t="s">
        <v>86</v>
      </c>
      <c r="B70" s="1"/>
      <c r="C70" s="1"/>
    </row>
    <row r="71" spans="1:3" ht="12.75">
      <c r="A71" s="22"/>
      <c r="B71" s="1"/>
      <c r="C71" s="1"/>
    </row>
    <row r="72" spans="1:3" ht="12.75">
      <c r="A72" s="22" t="s">
        <v>80</v>
      </c>
      <c r="B72" s="22"/>
      <c r="C72" s="1"/>
    </row>
  </sheetData>
  <mergeCells count="52">
    <mergeCell ref="A5:C5"/>
    <mergeCell ref="A6:C6"/>
    <mergeCell ref="A7:C7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30:C30"/>
    <mergeCell ref="A31:D31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</mergeCells>
  <printOptions/>
  <pageMargins left="0.75" right="0.75" top="1" bottom="1" header="0.5" footer="0.5"/>
  <pageSetup horizontalDpi="600" verticalDpi="600" orientation="portrait" paperSize="9" scale="91" r:id="rId1"/>
  <colBreaks count="1" manualBreakCount="1">
    <brk id="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5:G79"/>
  <sheetViews>
    <sheetView workbookViewId="0" topLeftCell="A12">
      <selection activeCell="A12" sqref="A12:B12"/>
    </sheetView>
  </sheetViews>
  <sheetFormatPr defaultColWidth="9.140625" defaultRowHeight="12.75"/>
  <cols>
    <col min="1" max="1" width="48.140625" style="0" customWidth="1"/>
    <col min="2" max="2" width="16.421875" style="0" hidden="1" customWidth="1"/>
    <col min="3" max="3" width="17.57421875" style="0" customWidth="1"/>
    <col min="4" max="4" width="15.00390625" style="0" customWidth="1"/>
    <col min="5" max="5" width="12.57421875" style="0" customWidth="1"/>
    <col min="7" max="7" width="11.140625" style="0" customWidth="1"/>
  </cols>
  <sheetData>
    <row r="5" spans="1:3" ht="12.75">
      <c r="A5" s="24" t="s">
        <v>0</v>
      </c>
      <c r="B5" s="4"/>
      <c r="C5" s="4"/>
    </row>
    <row r="6" spans="1:3" ht="12.75">
      <c r="A6" s="24" t="s">
        <v>106</v>
      </c>
      <c r="B6" s="4"/>
      <c r="C6" s="4"/>
    </row>
    <row r="7" spans="1:3" ht="12.75">
      <c r="A7" s="24" t="s">
        <v>124</v>
      </c>
      <c r="B7" s="4"/>
      <c r="C7" s="4"/>
    </row>
    <row r="8" spans="1:3" ht="12.75">
      <c r="A8" s="3"/>
      <c r="B8" s="4"/>
      <c r="C8" s="4"/>
    </row>
    <row r="9" ht="12.75">
      <c r="A9" s="5" t="s">
        <v>134</v>
      </c>
    </row>
    <row r="11" ht="12.75">
      <c r="A11" t="s">
        <v>135</v>
      </c>
    </row>
    <row r="12" spans="1:5" ht="38.25">
      <c r="A12" s="45" t="s">
        <v>5</v>
      </c>
      <c r="B12" s="46"/>
      <c r="C12" s="6" t="s">
        <v>107</v>
      </c>
      <c r="D12" s="6" t="s">
        <v>7</v>
      </c>
      <c r="E12" s="26" t="s">
        <v>117</v>
      </c>
    </row>
    <row r="13" spans="1:5" ht="12.75">
      <c r="A13" s="47" t="s">
        <v>8</v>
      </c>
      <c r="B13" s="48"/>
      <c r="C13" s="7">
        <v>0</v>
      </c>
      <c r="D13" s="7">
        <v>0</v>
      </c>
      <c r="E13" s="7">
        <v>0</v>
      </c>
    </row>
    <row r="14" spans="1:5" ht="12.75">
      <c r="A14" s="47" t="s">
        <v>9</v>
      </c>
      <c r="B14" s="48"/>
      <c r="C14" s="6"/>
      <c r="D14" s="6"/>
      <c r="E14" s="8">
        <v>142738</v>
      </c>
    </row>
    <row r="15" spans="1:5" ht="12.75">
      <c r="A15" s="49" t="s">
        <v>125</v>
      </c>
      <c r="B15" s="50"/>
      <c r="C15" s="9">
        <f>C17+C18+C19+C20</f>
        <v>539895.216</v>
      </c>
      <c r="D15" s="9">
        <f>38055.22+25935.95</f>
        <v>63991.17</v>
      </c>
      <c r="E15" s="9">
        <v>55202.4</v>
      </c>
    </row>
    <row r="16" spans="1:5" ht="12.75">
      <c r="A16" s="49" t="s">
        <v>11</v>
      </c>
      <c r="B16" s="50"/>
      <c r="C16" s="10"/>
      <c r="D16" s="10"/>
      <c r="E16" s="9"/>
    </row>
    <row r="17" spans="1:5" ht="12.75">
      <c r="A17" s="51" t="s">
        <v>12</v>
      </c>
      <c r="B17" s="52"/>
      <c r="C17" s="9">
        <f>D35+D41+D42+D48+D49+D50</f>
        <v>166883.148</v>
      </c>
      <c r="D17" s="10"/>
      <c r="E17" s="9"/>
    </row>
    <row r="18" spans="1:5" ht="12.75">
      <c r="A18" s="51" t="s">
        <v>13</v>
      </c>
      <c r="B18" s="52"/>
      <c r="C18" s="9">
        <f>D54+D52</f>
        <v>39153.312</v>
      </c>
      <c r="D18" s="10"/>
      <c r="E18" s="9"/>
    </row>
    <row r="19" spans="1:5" ht="12.75">
      <c r="A19" s="51" t="s">
        <v>14</v>
      </c>
      <c r="B19" s="52"/>
      <c r="C19" s="9">
        <f>D62</f>
        <v>154981.86</v>
      </c>
      <c r="D19" s="10"/>
      <c r="E19" s="9"/>
    </row>
    <row r="20" spans="1:5" ht="12.75">
      <c r="A20" s="51" t="s">
        <v>15</v>
      </c>
      <c r="B20" s="52"/>
      <c r="C20" s="9">
        <f>D66</f>
        <v>178876.896</v>
      </c>
      <c r="D20" s="10"/>
      <c r="E20" s="9"/>
    </row>
    <row r="21" spans="1:5" ht="12.75">
      <c r="A21" s="49" t="s">
        <v>16</v>
      </c>
      <c r="B21" s="50"/>
      <c r="C21" s="9">
        <f>C13+C15-C23</f>
        <v>496595.42600000004</v>
      </c>
      <c r="D21" s="10">
        <f>D13+D15-D23</f>
        <v>59354.909999999996</v>
      </c>
      <c r="E21" s="9">
        <f>E13+E15-E23</f>
        <v>50404.200000000004</v>
      </c>
    </row>
    <row r="22" spans="1:5" ht="12.75">
      <c r="A22" s="49" t="s">
        <v>17</v>
      </c>
      <c r="B22" s="50"/>
      <c r="C22" s="10"/>
      <c r="D22" s="10"/>
      <c r="E22" s="10"/>
    </row>
    <row r="23" spans="1:5" ht="12.75">
      <c r="A23" s="49" t="s">
        <v>18</v>
      </c>
      <c r="B23" s="50"/>
      <c r="C23" s="9">
        <v>43299.79</v>
      </c>
      <c r="D23" s="9">
        <f>2757.16+1879.1</f>
        <v>4636.26</v>
      </c>
      <c r="E23" s="10">
        <v>4798.2</v>
      </c>
    </row>
    <row r="24" spans="1:5" ht="12.75">
      <c r="A24" s="49" t="s">
        <v>83</v>
      </c>
      <c r="B24" s="50"/>
      <c r="C24" s="9">
        <f>D67</f>
        <v>539895.216</v>
      </c>
      <c r="D24" s="9"/>
      <c r="E24" s="9"/>
    </row>
    <row r="25" spans="1:5" ht="12.75">
      <c r="A25" s="49" t="s">
        <v>19</v>
      </c>
      <c r="B25" s="50"/>
      <c r="C25" s="9">
        <v>0</v>
      </c>
      <c r="D25" s="9">
        <v>0</v>
      </c>
      <c r="E25" s="9">
        <v>0</v>
      </c>
    </row>
    <row r="26" spans="1:5" ht="12.75">
      <c r="A26" s="49" t="s">
        <v>20</v>
      </c>
      <c r="B26" s="50"/>
      <c r="C26" s="9">
        <v>0</v>
      </c>
      <c r="D26" s="9">
        <v>0</v>
      </c>
      <c r="E26" s="9">
        <f>E14+E15</f>
        <v>197940.4</v>
      </c>
    </row>
    <row r="27" spans="1:5" ht="31.5" customHeight="1">
      <c r="A27" s="49" t="s">
        <v>99</v>
      </c>
      <c r="B27" s="50"/>
      <c r="C27" s="9">
        <v>0</v>
      </c>
      <c r="D27" s="9">
        <v>0</v>
      </c>
      <c r="E27" s="9">
        <v>0</v>
      </c>
    </row>
    <row r="28" spans="1:5" ht="27.75" customHeight="1">
      <c r="A28" s="49" t="s">
        <v>22</v>
      </c>
      <c r="B28" s="50"/>
      <c r="C28" s="9">
        <v>0</v>
      </c>
      <c r="D28" s="9">
        <v>0</v>
      </c>
      <c r="E28" s="9">
        <v>0</v>
      </c>
    </row>
    <row r="29" spans="1:4" ht="12.75">
      <c r="A29" s="2"/>
      <c r="B29" s="2"/>
      <c r="C29" s="2"/>
      <c r="D29" s="2"/>
    </row>
    <row r="30" spans="1:4" ht="12.75">
      <c r="A30" s="67" t="s">
        <v>23</v>
      </c>
      <c r="B30" s="67"/>
      <c r="C30" s="67"/>
      <c r="D30" s="2"/>
    </row>
    <row r="31" spans="1:4" ht="12.75">
      <c r="A31" s="53" t="s">
        <v>24</v>
      </c>
      <c r="B31" s="53"/>
      <c r="C31" s="53"/>
      <c r="D31" s="53"/>
    </row>
    <row r="32" spans="1:4" ht="12.75">
      <c r="A32" s="2"/>
      <c r="B32" s="2"/>
      <c r="C32" s="2"/>
      <c r="D32" s="2"/>
    </row>
    <row r="33" spans="1:4" ht="12.75">
      <c r="A33" s="68" t="s">
        <v>25</v>
      </c>
      <c r="B33" s="69"/>
      <c r="C33" s="26" t="s">
        <v>26</v>
      </c>
      <c r="D33" s="26" t="s">
        <v>27</v>
      </c>
    </row>
    <row r="34" spans="1:4" ht="12.75">
      <c r="A34" s="65" t="s">
        <v>28</v>
      </c>
      <c r="B34" s="65"/>
      <c r="C34" s="26"/>
      <c r="D34" s="26"/>
    </row>
    <row r="35" spans="1:7" ht="12.75">
      <c r="A35" s="65" t="s">
        <v>29</v>
      </c>
      <c r="B35" s="65"/>
      <c r="C35" s="26"/>
      <c r="D35" s="9">
        <f>9596.4*6.63</f>
        <v>63624.132</v>
      </c>
      <c r="G35" s="2"/>
    </row>
    <row r="36" spans="1:7" ht="20.25" customHeight="1">
      <c r="A36" s="49" t="s">
        <v>30</v>
      </c>
      <c r="B36" s="66"/>
      <c r="C36" s="26" t="s">
        <v>31</v>
      </c>
      <c r="D36" s="9"/>
      <c r="G36" s="2"/>
    </row>
    <row r="37" spans="1:7" ht="12.75">
      <c r="A37" s="49" t="s">
        <v>32</v>
      </c>
      <c r="B37" s="50"/>
      <c r="C37" s="26" t="s">
        <v>33</v>
      </c>
      <c r="D37" s="9"/>
      <c r="G37" s="2"/>
    </row>
    <row r="38" spans="1:4" ht="12.75">
      <c r="A38" s="49" t="s">
        <v>34</v>
      </c>
      <c r="B38" s="50"/>
      <c r="C38" s="26" t="s">
        <v>35</v>
      </c>
      <c r="D38" s="9"/>
    </row>
    <row r="39" spans="1:4" ht="12.75">
      <c r="A39" s="49" t="s">
        <v>36</v>
      </c>
      <c r="B39" s="50"/>
      <c r="C39" s="26" t="s">
        <v>37</v>
      </c>
      <c r="D39" s="9"/>
    </row>
    <row r="40" spans="1:4" ht="12.75">
      <c r="A40" s="49" t="s">
        <v>38</v>
      </c>
      <c r="B40" s="50"/>
      <c r="C40" s="26" t="s">
        <v>39</v>
      </c>
      <c r="D40" s="9"/>
    </row>
    <row r="41" spans="1:4" ht="12.75">
      <c r="A41" s="49" t="s">
        <v>40</v>
      </c>
      <c r="B41" s="50"/>
      <c r="C41" s="26" t="s">
        <v>41</v>
      </c>
      <c r="D41" s="9"/>
    </row>
    <row r="42" spans="1:4" ht="26.25" customHeight="1">
      <c r="A42" s="47" t="s">
        <v>42</v>
      </c>
      <c r="B42" s="48"/>
      <c r="C42" s="26" t="s">
        <v>43</v>
      </c>
      <c r="D42" s="9">
        <f>9596.4*2.2+19386.48</f>
        <v>40498.56</v>
      </c>
    </row>
    <row r="43" spans="1:4" ht="25.5">
      <c r="A43" s="49" t="s">
        <v>44</v>
      </c>
      <c r="B43" s="50"/>
      <c r="C43" s="26" t="s">
        <v>45</v>
      </c>
      <c r="D43" s="9"/>
    </row>
    <row r="44" spans="1:4" ht="25.5">
      <c r="A44" s="49" t="s">
        <v>46</v>
      </c>
      <c r="B44" s="50"/>
      <c r="C44" s="26" t="s">
        <v>45</v>
      </c>
      <c r="D44" s="9"/>
    </row>
    <row r="45" spans="1:4" ht="25.5">
      <c r="A45" s="49" t="s">
        <v>47</v>
      </c>
      <c r="B45" s="50"/>
      <c r="C45" s="26" t="s">
        <v>48</v>
      </c>
      <c r="D45" s="9"/>
    </row>
    <row r="46" spans="1:4" ht="40.5" customHeight="1">
      <c r="A46" s="49" t="s">
        <v>49</v>
      </c>
      <c r="B46" s="50"/>
      <c r="C46" s="26" t="s">
        <v>50</v>
      </c>
      <c r="D46" s="9"/>
    </row>
    <row r="47" spans="1:4" ht="24.75" customHeight="1">
      <c r="A47" s="49" t="s">
        <v>51</v>
      </c>
      <c r="B47" s="50"/>
      <c r="C47" s="26" t="s">
        <v>31</v>
      </c>
      <c r="D47" s="9"/>
    </row>
    <row r="48" spans="1:4" ht="26.25" customHeight="1">
      <c r="A48" s="49" t="s">
        <v>52</v>
      </c>
      <c r="B48" s="50"/>
      <c r="C48" s="26" t="s">
        <v>53</v>
      </c>
      <c r="D48" s="9">
        <f>9596.4*0.06</f>
        <v>575.784</v>
      </c>
    </row>
    <row r="49" spans="1:4" ht="12.75">
      <c r="A49" s="49" t="s">
        <v>54</v>
      </c>
      <c r="B49" s="50"/>
      <c r="C49" s="26" t="s">
        <v>31</v>
      </c>
      <c r="D49" s="9">
        <f>9596.4*4.99</f>
        <v>47886.036</v>
      </c>
    </row>
    <row r="50" spans="1:4" ht="31.5" customHeight="1">
      <c r="A50" s="49" t="s">
        <v>108</v>
      </c>
      <c r="B50" s="50"/>
      <c r="C50" s="26" t="s">
        <v>109</v>
      </c>
      <c r="D50" s="9">
        <f>9596.4*1.49</f>
        <v>14298.635999999999</v>
      </c>
    </row>
    <row r="51" spans="1:4" ht="38.25">
      <c r="A51" s="49" t="s">
        <v>110</v>
      </c>
      <c r="B51" s="50"/>
      <c r="C51" s="26" t="s">
        <v>118</v>
      </c>
      <c r="D51" s="9"/>
    </row>
    <row r="52" spans="1:4" ht="25.5">
      <c r="A52" s="49" t="s">
        <v>119</v>
      </c>
      <c r="B52" s="50"/>
      <c r="C52" s="26" t="s">
        <v>62</v>
      </c>
      <c r="D52" s="9">
        <f>9596.4*0.37</f>
        <v>3550.6679999999997</v>
      </c>
    </row>
    <row r="53" spans="1:4" ht="25.5">
      <c r="A53" s="49" t="s">
        <v>61</v>
      </c>
      <c r="B53" s="50"/>
      <c r="C53" s="26" t="s">
        <v>62</v>
      </c>
      <c r="D53" s="9"/>
    </row>
    <row r="54" spans="1:4" ht="12.75">
      <c r="A54" s="61" t="s">
        <v>120</v>
      </c>
      <c r="B54" s="62"/>
      <c r="C54" s="26"/>
      <c r="D54" s="9">
        <f>9596.4*3.71</f>
        <v>35602.644</v>
      </c>
    </row>
    <row r="55" spans="1:4" ht="12.75">
      <c r="A55" s="49" t="s">
        <v>121</v>
      </c>
      <c r="B55" s="50"/>
      <c r="C55" s="26"/>
      <c r="D55" s="9"/>
    </row>
    <row r="56" spans="1:4" ht="12.75">
      <c r="A56" s="49" t="s">
        <v>122</v>
      </c>
      <c r="B56" s="50"/>
      <c r="C56" s="26"/>
      <c r="D56" s="9"/>
    </row>
    <row r="57" spans="1:4" ht="12.75">
      <c r="A57" s="49" t="s">
        <v>123</v>
      </c>
      <c r="B57" s="50"/>
      <c r="C57" s="26"/>
      <c r="D57" s="9"/>
    </row>
    <row r="58" spans="1:4" ht="32.25" customHeight="1">
      <c r="A58" s="49" t="s">
        <v>59</v>
      </c>
      <c r="B58" s="50"/>
      <c r="C58" s="26" t="s">
        <v>112</v>
      </c>
      <c r="D58" s="10"/>
    </row>
    <row r="59" spans="1:4" ht="39" customHeight="1">
      <c r="A59" s="49" t="s">
        <v>63</v>
      </c>
      <c r="B59" s="50"/>
      <c r="C59" s="26" t="s">
        <v>35</v>
      </c>
      <c r="D59" s="9"/>
    </row>
    <row r="60" spans="1:4" ht="25.5">
      <c r="A60" s="49" t="s">
        <v>113</v>
      </c>
      <c r="B60" s="50"/>
      <c r="C60" s="26" t="s">
        <v>111</v>
      </c>
      <c r="D60" s="9">
        <v>957.1</v>
      </c>
    </row>
    <row r="61" spans="1:4" ht="21.75" customHeight="1">
      <c r="A61" s="49" t="s">
        <v>64</v>
      </c>
      <c r="B61" s="50"/>
      <c r="C61" s="26" t="s">
        <v>114</v>
      </c>
      <c r="D61" s="9"/>
    </row>
    <row r="62" spans="1:4" ht="12.75">
      <c r="A62" s="61" t="s">
        <v>68</v>
      </c>
      <c r="B62" s="62"/>
      <c r="C62" s="26" t="s">
        <v>69</v>
      </c>
      <c r="D62" s="9">
        <f>9596.4*16.15</f>
        <v>154981.86</v>
      </c>
    </row>
    <row r="63" spans="1:4" ht="12.75">
      <c r="A63" s="49" t="s">
        <v>70</v>
      </c>
      <c r="B63" s="50"/>
      <c r="C63" s="26" t="s">
        <v>69</v>
      </c>
      <c r="D63" s="10"/>
    </row>
    <row r="64" spans="1:4" ht="12.75">
      <c r="A64" s="49" t="s">
        <v>71</v>
      </c>
      <c r="B64" s="50"/>
      <c r="C64" s="26" t="s">
        <v>69</v>
      </c>
      <c r="D64" s="10"/>
    </row>
    <row r="65" spans="1:4" ht="12.75">
      <c r="A65" s="49" t="s">
        <v>72</v>
      </c>
      <c r="B65" s="50"/>
      <c r="C65" s="26" t="s">
        <v>73</v>
      </c>
      <c r="D65" s="10"/>
    </row>
    <row r="66" spans="1:4" ht="51.75" customHeight="1">
      <c r="A66" s="61" t="s">
        <v>115</v>
      </c>
      <c r="B66" s="62"/>
      <c r="C66" s="26" t="s">
        <v>67</v>
      </c>
      <c r="D66" s="9">
        <f>9596.4*18.64</f>
        <v>178876.896</v>
      </c>
    </row>
    <row r="67" spans="1:4" ht="12.75">
      <c r="A67" s="63" t="s">
        <v>74</v>
      </c>
      <c r="B67" s="64"/>
      <c r="C67" s="19"/>
      <c r="D67" s="21">
        <f>D35+D42+D48+D49+D50+D52+D54+D62+D66</f>
        <v>539895.216</v>
      </c>
    </row>
    <row r="68" spans="1:4" ht="12.75">
      <c r="A68" s="42" t="s">
        <v>161</v>
      </c>
      <c r="B68" s="43"/>
      <c r="C68" s="17" t="s">
        <v>162</v>
      </c>
      <c r="D68" s="18">
        <v>9896.15</v>
      </c>
    </row>
    <row r="69" spans="1:4" ht="12.75">
      <c r="A69" s="39"/>
      <c r="B69" s="38"/>
      <c r="C69" s="40"/>
      <c r="D69" s="41"/>
    </row>
    <row r="70" spans="1:4" ht="12.75">
      <c r="A70" s="22" t="s">
        <v>76</v>
      </c>
      <c r="B70" s="22"/>
      <c r="C70" s="22"/>
      <c r="D70" s="2"/>
    </row>
    <row r="71" spans="1:4" ht="12.75">
      <c r="A71" s="22" t="s">
        <v>77</v>
      </c>
      <c r="B71" s="22"/>
      <c r="C71" s="22"/>
      <c r="D71" s="2"/>
    </row>
    <row r="72" spans="1:4" ht="12.75">
      <c r="A72" s="22" t="s">
        <v>129</v>
      </c>
      <c r="B72" s="22"/>
      <c r="C72" s="22"/>
      <c r="D72" s="2"/>
    </row>
    <row r="73" spans="1:4" ht="12.75">
      <c r="A73" s="22" t="s">
        <v>126</v>
      </c>
      <c r="B73" s="22"/>
      <c r="C73" s="22"/>
      <c r="D73" s="2"/>
    </row>
    <row r="74" spans="1:4" ht="12.75">
      <c r="A74" s="22" t="s">
        <v>84</v>
      </c>
      <c r="B74" s="1"/>
      <c r="C74" s="1"/>
      <c r="D74" s="2"/>
    </row>
    <row r="75" spans="1:4" ht="12.75">
      <c r="A75" s="22" t="s">
        <v>85</v>
      </c>
      <c r="B75" s="1"/>
      <c r="C75" s="1"/>
      <c r="D75" s="2"/>
    </row>
    <row r="76" spans="1:4" ht="12.75">
      <c r="A76" s="22" t="s">
        <v>86</v>
      </c>
      <c r="B76" s="1"/>
      <c r="C76" s="1"/>
      <c r="D76" s="2"/>
    </row>
    <row r="77" spans="1:4" ht="12.75">
      <c r="A77" s="1"/>
      <c r="B77" s="1"/>
      <c r="C77" s="1"/>
      <c r="D77" s="2"/>
    </row>
    <row r="78" spans="1:4" ht="12.75">
      <c r="A78" s="22"/>
      <c r="B78" s="1"/>
      <c r="C78" s="1"/>
      <c r="D78" s="2"/>
    </row>
    <row r="79" spans="1:4" ht="12.75">
      <c r="A79" s="22" t="s">
        <v>116</v>
      </c>
      <c r="B79" s="22"/>
      <c r="C79" s="1"/>
      <c r="D79" s="2"/>
    </row>
  </sheetData>
  <mergeCells count="54"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30:C30"/>
    <mergeCell ref="A31:D31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6:B66"/>
    <mergeCell ref="A67:B67"/>
    <mergeCell ref="A62:B62"/>
    <mergeCell ref="A63:B63"/>
    <mergeCell ref="A64:B64"/>
    <mergeCell ref="A65:B65"/>
  </mergeCells>
  <printOptions/>
  <pageMargins left="0.75" right="0.75" top="1" bottom="1" header="0.5" footer="0.5"/>
  <pageSetup horizontalDpi="600" verticalDpi="600" orientation="portrait" paperSize="9" scale="93" r:id="rId1"/>
  <colBreaks count="1" manualBreakCount="1">
    <brk id="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5:G80"/>
  <sheetViews>
    <sheetView workbookViewId="0" topLeftCell="A8">
      <selection activeCell="D8" sqref="D8"/>
    </sheetView>
  </sheetViews>
  <sheetFormatPr defaultColWidth="9.140625" defaultRowHeight="12.75"/>
  <cols>
    <col min="1" max="1" width="48.140625" style="0" customWidth="1"/>
    <col min="2" max="2" width="16.421875" style="0" hidden="1" customWidth="1"/>
    <col min="3" max="3" width="17.140625" style="0" customWidth="1"/>
    <col min="4" max="4" width="15.57421875" style="0" customWidth="1"/>
    <col min="5" max="5" width="13.8515625" style="0" customWidth="1"/>
    <col min="7" max="7" width="11.140625" style="0" customWidth="1"/>
  </cols>
  <sheetData>
    <row r="5" spans="1:3" ht="12.75">
      <c r="A5" s="24" t="s">
        <v>0</v>
      </c>
      <c r="B5" s="4"/>
      <c r="C5" s="4"/>
    </row>
    <row r="6" spans="1:3" ht="12.75">
      <c r="A6" s="24" t="s">
        <v>106</v>
      </c>
      <c r="B6" s="4"/>
      <c r="C6" s="4"/>
    </row>
    <row r="7" spans="1:3" ht="12.75">
      <c r="A7" s="24" t="s">
        <v>124</v>
      </c>
      <c r="B7" s="4"/>
      <c r="C7" s="4"/>
    </row>
    <row r="8" spans="1:3" ht="12.75">
      <c r="A8" s="3"/>
      <c r="B8" s="4"/>
      <c r="C8" s="4"/>
    </row>
    <row r="9" ht="12.75">
      <c r="A9" s="5" t="s">
        <v>136</v>
      </c>
    </row>
    <row r="11" ht="12.75">
      <c r="A11" t="s">
        <v>137</v>
      </c>
    </row>
    <row r="12" spans="1:5" ht="38.25">
      <c r="A12" s="45" t="s">
        <v>5</v>
      </c>
      <c r="B12" s="46"/>
      <c r="C12" s="6" t="s">
        <v>107</v>
      </c>
      <c r="D12" s="6" t="s">
        <v>7</v>
      </c>
      <c r="E12" s="26" t="s">
        <v>117</v>
      </c>
    </row>
    <row r="13" spans="1:5" ht="12.75">
      <c r="A13" s="47" t="s">
        <v>8</v>
      </c>
      <c r="B13" s="48"/>
      <c r="C13" s="7">
        <v>0</v>
      </c>
      <c r="D13" s="7">
        <v>0</v>
      </c>
      <c r="E13" s="7">
        <v>0</v>
      </c>
    </row>
    <row r="14" spans="1:5" ht="12.75">
      <c r="A14" s="47" t="s">
        <v>9</v>
      </c>
      <c r="B14" s="48"/>
      <c r="C14" s="6"/>
      <c r="D14" s="6"/>
      <c r="E14" s="8">
        <v>139691</v>
      </c>
    </row>
    <row r="15" spans="1:5" ht="12.75">
      <c r="A15" s="49" t="s">
        <v>125</v>
      </c>
      <c r="B15" s="50"/>
      <c r="C15" s="9">
        <f>C17+C18+C19+C20</f>
        <v>529228.2919999999</v>
      </c>
      <c r="D15" s="9">
        <f>41197.1+28077.25</f>
        <v>69274.35</v>
      </c>
      <c r="E15" s="9">
        <v>56441</v>
      </c>
    </row>
    <row r="16" spans="1:5" ht="12.75">
      <c r="A16" s="49" t="s">
        <v>11</v>
      </c>
      <c r="B16" s="50"/>
      <c r="C16" s="10"/>
      <c r="D16" s="10"/>
      <c r="E16" s="9"/>
    </row>
    <row r="17" spans="1:5" ht="12.75">
      <c r="A17" s="51" t="s">
        <v>12</v>
      </c>
      <c r="B17" s="52"/>
      <c r="C17" s="9">
        <f>D35+D41+D42+D48+D49+D50</f>
        <v>163585.976</v>
      </c>
      <c r="D17" s="10"/>
      <c r="E17" s="9"/>
    </row>
    <row r="18" spans="1:5" ht="12.75">
      <c r="A18" s="51" t="s">
        <v>13</v>
      </c>
      <c r="B18" s="52"/>
      <c r="C18" s="9">
        <f>D54+D52</f>
        <v>38379.74399999999</v>
      </c>
      <c r="D18" s="10"/>
      <c r="E18" s="9"/>
    </row>
    <row r="19" spans="1:5" ht="12.75">
      <c r="A19" s="51" t="s">
        <v>14</v>
      </c>
      <c r="B19" s="52"/>
      <c r="C19" s="9">
        <f>D62</f>
        <v>151919.81999999998</v>
      </c>
      <c r="D19" s="10"/>
      <c r="E19" s="9"/>
    </row>
    <row r="20" spans="1:5" ht="12.75">
      <c r="A20" s="51" t="s">
        <v>15</v>
      </c>
      <c r="B20" s="52"/>
      <c r="C20" s="9">
        <f>D66</f>
        <v>175342.75199999998</v>
      </c>
      <c r="D20" s="10"/>
      <c r="E20" s="9"/>
    </row>
    <row r="21" spans="1:5" ht="12.75">
      <c r="A21" s="49" t="s">
        <v>16</v>
      </c>
      <c r="B21" s="50"/>
      <c r="C21" s="9">
        <f>C13+C15-C23</f>
        <v>486709.5519999999</v>
      </c>
      <c r="D21" s="10">
        <f>D13+D15-D23</f>
        <v>66363.21</v>
      </c>
      <c r="E21" s="9">
        <f>E13+E15-E23</f>
        <v>51737.6</v>
      </c>
    </row>
    <row r="22" spans="1:5" ht="12.75">
      <c r="A22" s="49" t="s">
        <v>17</v>
      </c>
      <c r="B22" s="50"/>
      <c r="C22" s="10"/>
      <c r="D22" s="10"/>
      <c r="E22" s="10"/>
    </row>
    <row r="23" spans="1:5" ht="12.75">
      <c r="A23" s="49" t="s">
        <v>18</v>
      </c>
      <c r="B23" s="50"/>
      <c r="C23" s="9">
        <v>42518.74</v>
      </c>
      <c r="D23" s="9">
        <f>1731.24+1179.9</f>
        <v>2911.1400000000003</v>
      </c>
      <c r="E23" s="10">
        <v>4703.4</v>
      </c>
    </row>
    <row r="24" spans="1:5" ht="12.75">
      <c r="A24" s="49" t="s">
        <v>83</v>
      </c>
      <c r="B24" s="50"/>
      <c r="C24" s="9">
        <f>D67</f>
        <v>529228.2919999999</v>
      </c>
      <c r="D24" s="9"/>
      <c r="E24" s="9"/>
    </row>
    <row r="25" spans="1:5" ht="12.75">
      <c r="A25" s="49" t="s">
        <v>19</v>
      </c>
      <c r="B25" s="50"/>
      <c r="C25" s="9">
        <v>0</v>
      </c>
      <c r="D25" s="9">
        <v>0</v>
      </c>
      <c r="E25" s="9">
        <v>0</v>
      </c>
    </row>
    <row r="26" spans="1:5" ht="12.75">
      <c r="A26" s="49" t="s">
        <v>20</v>
      </c>
      <c r="B26" s="50"/>
      <c r="C26" s="9">
        <v>0</v>
      </c>
      <c r="D26" s="9">
        <v>0</v>
      </c>
      <c r="E26" s="9">
        <f>E14+E21</f>
        <v>191428.6</v>
      </c>
    </row>
    <row r="27" spans="1:5" ht="31.5" customHeight="1">
      <c r="A27" s="49" t="s">
        <v>99</v>
      </c>
      <c r="B27" s="50"/>
      <c r="C27" s="9">
        <v>0</v>
      </c>
      <c r="D27" s="9">
        <v>0</v>
      </c>
      <c r="E27" s="9">
        <v>0</v>
      </c>
    </row>
    <row r="28" spans="1:5" ht="27.75" customHeight="1">
      <c r="A28" s="49" t="s">
        <v>22</v>
      </c>
      <c r="B28" s="50"/>
      <c r="C28" s="9">
        <v>0</v>
      </c>
      <c r="D28" s="9">
        <v>0</v>
      </c>
      <c r="E28" s="9">
        <v>0</v>
      </c>
    </row>
    <row r="29" spans="1:4" ht="12.75">
      <c r="A29" s="2"/>
      <c r="B29" s="2"/>
      <c r="C29" s="2"/>
      <c r="D29" s="2"/>
    </row>
    <row r="30" spans="1:4" ht="12.75">
      <c r="A30" s="67" t="s">
        <v>23</v>
      </c>
      <c r="B30" s="67"/>
      <c r="C30" s="67"/>
      <c r="D30" s="2"/>
    </row>
    <row r="31" spans="1:4" ht="12.75">
      <c r="A31" s="53" t="s">
        <v>24</v>
      </c>
      <c r="B31" s="53"/>
      <c r="C31" s="53"/>
      <c r="D31" s="53"/>
    </row>
    <row r="32" spans="1:4" ht="12.75">
      <c r="A32" s="2"/>
      <c r="B32" s="2"/>
      <c r="C32" s="2"/>
      <c r="D32" s="2"/>
    </row>
    <row r="33" spans="1:4" ht="12.75">
      <c r="A33" s="68" t="s">
        <v>25</v>
      </c>
      <c r="B33" s="69"/>
      <c r="C33" s="26" t="s">
        <v>26</v>
      </c>
      <c r="D33" s="26" t="s">
        <v>27</v>
      </c>
    </row>
    <row r="34" spans="1:4" ht="12.75">
      <c r="A34" s="65" t="s">
        <v>28</v>
      </c>
      <c r="B34" s="65"/>
      <c r="C34" s="26"/>
      <c r="D34" s="26"/>
    </row>
    <row r="35" spans="1:7" ht="12.75">
      <c r="A35" s="65" t="s">
        <v>29</v>
      </c>
      <c r="B35" s="65"/>
      <c r="C35" s="26"/>
      <c r="D35" s="9">
        <f>9406.8*6.63</f>
        <v>62367.083999999995</v>
      </c>
      <c r="G35" s="2"/>
    </row>
    <row r="36" spans="1:7" ht="21.75" customHeight="1">
      <c r="A36" s="49" t="s">
        <v>30</v>
      </c>
      <c r="B36" s="66"/>
      <c r="C36" s="26" t="s">
        <v>31</v>
      </c>
      <c r="D36" s="9"/>
      <c r="G36" s="2"/>
    </row>
    <row r="37" spans="1:7" ht="12.75">
      <c r="A37" s="49" t="s">
        <v>32</v>
      </c>
      <c r="B37" s="50"/>
      <c r="C37" s="26" t="s">
        <v>33</v>
      </c>
      <c r="D37" s="9"/>
      <c r="G37" s="2"/>
    </row>
    <row r="38" spans="1:4" ht="12.75">
      <c r="A38" s="49" t="s">
        <v>34</v>
      </c>
      <c r="B38" s="50"/>
      <c r="C38" s="26" t="s">
        <v>35</v>
      </c>
      <c r="D38" s="9"/>
    </row>
    <row r="39" spans="1:4" ht="12.75">
      <c r="A39" s="49" t="s">
        <v>36</v>
      </c>
      <c r="B39" s="50"/>
      <c r="C39" s="26" t="s">
        <v>37</v>
      </c>
      <c r="D39" s="9"/>
    </row>
    <row r="40" spans="1:4" ht="12.75">
      <c r="A40" s="49" t="s">
        <v>38</v>
      </c>
      <c r="B40" s="50"/>
      <c r="C40" s="26" t="s">
        <v>39</v>
      </c>
      <c r="D40" s="9"/>
    </row>
    <row r="41" spans="1:4" ht="12.75">
      <c r="A41" s="49" t="s">
        <v>40</v>
      </c>
      <c r="B41" s="50"/>
      <c r="C41" s="26" t="s">
        <v>41</v>
      </c>
      <c r="D41" s="9"/>
    </row>
    <row r="42" spans="1:4" ht="32.25" customHeight="1">
      <c r="A42" s="47" t="s">
        <v>42</v>
      </c>
      <c r="B42" s="48"/>
      <c r="C42" s="26" t="s">
        <v>43</v>
      </c>
      <c r="D42" s="9">
        <f>9406.8*2.2+19003.46</f>
        <v>39698.42</v>
      </c>
    </row>
    <row r="43" spans="1:4" ht="25.5">
      <c r="A43" s="49" t="s">
        <v>44</v>
      </c>
      <c r="B43" s="50"/>
      <c r="C43" s="26" t="s">
        <v>45</v>
      </c>
      <c r="D43" s="9"/>
    </row>
    <row r="44" spans="1:4" ht="39.75" customHeight="1">
      <c r="A44" s="49" t="s">
        <v>46</v>
      </c>
      <c r="B44" s="50"/>
      <c r="C44" s="26" t="s">
        <v>45</v>
      </c>
      <c r="D44" s="9"/>
    </row>
    <row r="45" spans="1:4" ht="25.5">
      <c r="A45" s="49" t="s">
        <v>47</v>
      </c>
      <c r="B45" s="50"/>
      <c r="C45" s="26" t="s">
        <v>48</v>
      </c>
      <c r="D45" s="9"/>
    </row>
    <row r="46" spans="1:4" ht="39.75" customHeight="1">
      <c r="A46" s="49" t="s">
        <v>49</v>
      </c>
      <c r="B46" s="50"/>
      <c r="C46" s="26" t="s">
        <v>50</v>
      </c>
      <c r="D46" s="9"/>
    </row>
    <row r="47" spans="1:4" ht="26.25" customHeight="1">
      <c r="A47" s="49" t="s">
        <v>51</v>
      </c>
      <c r="B47" s="50"/>
      <c r="C47" s="26" t="s">
        <v>31</v>
      </c>
      <c r="D47" s="9"/>
    </row>
    <row r="48" spans="1:4" ht="23.25" customHeight="1">
      <c r="A48" s="49" t="s">
        <v>52</v>
      </c>
      <c r="B48" s="50"/>
      <c r="C48" s="26" t="s">
        <v>53</v>
      </c>
      <c r="D48" s="9">
        <f>9406.8*0.06</f>
        <v>564.4079999999999</v>
      </c>
    </row>
    <row r="49" spans="1:4" ht="12.75">
      <c r="A49" s="49" t="s">
        <v>54</v>
      </c>
      <c r="B49" s="50"/>
      <c r="C49" s="26" t="s">
        <v>31</v>
      </c>
      <c r="D49" s="9">
        <f>9406.8*4.99</f>
        <v>46939.932</v>
      </c>
    </row>
    <row r="50" spans="1:4" ht="30.75" customHeight="1">
      <c r="A50" s="49" t="s">
        <v>108</v>
      </c>
      <c r="B50" s="50"/>
      <c r="C50" s="26" t="s">
        <v>109</v>
      </c>
      <c r="D50" s="9">
        <f>9406.8*1.49</f>
        <v>14016.132</v>
      </c>
    </row>
    <row r="51" spans="1:4" ht="38.25">
      <c r="A51" s="49" t="s">
        <v>110</v>
      </c>
      <c r="B51" s="50"/>
      <c r="C51" s="26" t="s">
        <v>118</v>
      </c>
      <c r="D51" s="9"/>
    </row>
    <row r="52" spans="1:4" ht="25.5">
      <c r="A52" s="49" t="s">
        <v>119</v>
      </c>
      <c r="B52" s="50"/>
      <c r="C52" s="26" t="s">
        <v>62</v>
      </c>
      <c r="D52" s="9">
        <f>9406.8*0.37</f>
        <v>3480.5159999999996</v>
      </c>
    </row>
    <row r="53" spans="1:4" ht="25.5">
      <c r="A53" s="49" t="s">
        <v>61</v>
      </c>
      <c r="B53" s="50"/>
      <c r="C53" s="26" t="s">
        <v>62</v>
      </c>
      <c r="D53" s="9"/>
    </row>
    <row r="54" spans="1:4" ht="12.75">
      <c r="A54" s="61" t="s">
        <v>120</v>
      </c>
      <c r="B54" s="62"/>
      <c r="C54" s="26"/>
      <c r="D54" s="9">
        <f>9406.8*3.71</f>
        <v>34899.227999999996</v>
      </c>
    </row>
    <row r="55" spans="1:4" ht="12.75">
      <c r="A55" s="49" t="s">
        <v>121</v>
      </c>
      <c r="B55" s="50"/>
      <c r="C55" s="26"/>
      <c r="D55" s="9"/>
    </row>
    <row r="56" spans="1:4" ht="12.75">
      <c r="A56" s="49" t="s">
        <v>122</v>
      </c>
      <c r="B56" s="50"/>
      <c r="C56" s="26"/>
      <c r="D56" s="9"/>
    </row>
    <row r="57" spans="1:4" ht="12.75">
      <c r="A57" s="49" t="s">
        <v>123</v>
      </c>
      <c r="B57" s="50"/>
      <c r="C57" s="26"/>
      <c r="D57" s="9"/>
    </row>
    <row r="58" spans="1:4" ht="28.5" customHeight="1">
      <c r="A58" s="49" t="s">
        <v>59</v>
      </c>
      <c r="B58" s="50"/>
      <c r="C58" s="26" t="s">
        <v>112</v>
      </c>
      <c r="D58" s="10"/>
    </row>
    <row r="59" spans="1:4" ht="37.5" customHeight="1">
      <c r="A59" s="49" t="s">
        <v>63</v>
      </c>
      <c r="B59" s="50"/>
      <c r="C59" s="26" t="s">
        <v>35</v>
      </c>
      <c r="D59" s="9"/>
    </row>
    <row r="60" spans="1:4" ht="25.5">
      <c r="A60" s="49" t="s">
        <v>113</v>
      </c>
      <c r="B60" s="50"/>
      <c r="C60" s="26" t="s">
        <v>111</v>
      </c>
      <c r="D60" s="9">
        <v>957.1</v>
      </c>
    </row>
    <row r="61" spans="1:4" ht="24" customHeight="1">
      <c r="A61" s="49" t="s">
        <v>64</v>
      </c>
      <c r="B61" s="50"/>
      <c r="C61" s="26" t="s">
        <v>114</v>
      </c>
      <c r="D61" s="9"/>
    </row>
    <row r="62" spans="1:4" ht="24" customHeight="1">
      <c r="A62" s="61" t="s">
        <v>68</v>
      </c>
      <c r="B62" s="62"/>
      <c r="C62" s="26" t="s">
        <v>69</v>
      </c>
      <c r="D62" s="9">
        <f>9406.8*16.15</f>
        <v>151919.81999999998</v>
      </c>
    </row>
    <row r="63" spans="1:4" ht="12.75">
      <c r="A63" s="49" t="s">
        <v>70</v>
      </c>
      <c r="B63" s="50"/>
      <c r="C63" s="26" t="s">
        <v>69</v>
      </c>
      <c r="D63" s="10"/>
    </row>
    <row r="64" spans="1:4" ht="12.75">
      <c r="A64" s="49" t="s">
        <v>71</v>
      </c>
      <c r="B64" s="50"/>
      <c r="C64" s="26" t="s">
        <v>69</v>
      </c>
      <c r="D64" s="10"/>
    </row>
    <row r="65" spans="1:4" ht="12.75">
      <c r="A65" s="49" t="s">
        <v>72</v>
      </c>
      <c r="B65" s="50"/>
      <c r="C65" s="26" t="s">
        <v>73</v>
      </c>
      <c r="D65" s="10"/>
    </row>
    <row r="66" spans="1:4" ht="41.25" customHeight="1">
      <c r="A66" s="61" t="s">
        <v>115</v>
      </c>
      <c r="B66" s="62"/>
      <c r="C66" s="26" t="s">
        <v>67</v>
      </c>
      <c r="D66" s="9">
        <f>9406.8*18.64</f>
        <v>175342.75199999998</v>
      </c>
    </row>
    <row r="67" spans="1:4" ht="12.75">
      <c r="A67" s="63" t="s">
        <v>74</v>
      </c>
      <c r="B67" s="64"/>
      <c r="C67" s="19"/>
      <c r="D67" s="21">
        <f>D35+D42+D48+D49+D50+D52+D54+D62+D66</f>
        <v>529228.2919999999</v>
      </c>
    </row>
    <row r="68" spans="1:4" ht="12.75">
      <c r="A68" s="42" t="s">
        <v>163</v>
      </c>
      <c r="B68" s="12"/>
      <c r="C68" s="17" t="s">
        <v>35</v>
      </c>
      <c r="D68" s="18">
        <v>3598.75</v>
      </c>
    </row>
    <row r="69" spans="1:4" ht="12.75">
      <c r="A69" s="42" t="s">
        <v>164</v>
      </c>
      <c r="B69" s="12"/>
      <c r="C69" s="17" t="s">
        <v>162</v>
      </c>
      <c r="D69" s="18">
        <v>450</v>
      </c>
    </row>
    <row r="70" spans="1:4" ht="12.75">
      <c r="A70" s="2"/>
      <c r="B70" s="2"/>
      <c r="C70" s="2"/>
      <c r="D70" s="2"/>
    </row>
    <row r="71" spans="1:4" ht="12.75">
      <c r="A71" s="22" t="s">
        <v>76</v>
      </c>
      <c r="B71" s="22"/>
      <c r="C71" s="22"/>
      <c r="D71" s="2"/>
    </row>
    <row r="72" spans="1:4" ht="12.75">
      <c r="A72" s="22" t="s">
        <v>77</v>
      </c>
      <c r="B72" s="22"/>
      <c r="C72" s="22"/>
      <c r="D72" s="2"/>
    </row>
    <row r="73" spans="1:4" ht="12.75">
      <c r="A73" s="22" t="s">
        <v>129</v>
      </c>
      <c r="B73" s="22"/>
      <c r="C73" s="22"/>
      <c r="D73" s="2"/>
    </row>
    <row r="74" spans="1:4" ht="12.75">
      <c r="A74" s="22" t="s">
        <v>126</v>
      </c>
      <c r="B74" s="22"/>
      <c r="C74" s="22"/>
      <c r="D74" s="2"/>
    </row>
    <row r="75" spans="1:4" ht="12.75">
      <c r="A75" s="22" t="s">
        <v>84</v>
      </c>
      <c r="B75" s="1"/>
      <c r="C75" s="1"/>
      <c r="D75" s="2"/>
    </row>
    <row r="76" spans="1:4" ht="12.75">
      <c r="A76" s="22" t="s">
        <v>85</v>
      </c>
      <c r="B76" s="1"/>
      <c r="C76" s="1"/>
      <c r="D76" s="2"/>
    </row>
    <row r="77" spans="1:4" ht="12.75">
      <c r="A77" s="22" t="s">
        <v>86</v>
      </c>
      <c r="B77" s="1"/>
      <c r="C77" s="1"/>
      <c r="D77" s="2"/>
    </row>
    <row r="78" spans="1:4" ht="12.75">
      <c r="A78" s="1"/>
      <c r="B78" s="1"/>
      <c r="C78" s="1"/>
      <c r="D78" s="2"/>
    </row>
    <row r="79" spans="1:4" ht="12.75">
      <c r="A79" s="22"/>
      <c r="B79" s="1"/>
      <c r="C79" s="1"/>
      <c r="D79" s="2"/>
    </row>
    <row r="80" spans="1:4" ht="12.75">
      <c r="A80" s="22" t="s">
        <v>116</v>
      </c>
      <c r="B80" s="22"/>
      <c r="C80" s="1"/>
      <c r="D80" s="2"/>
    </row>
  </sheetData>
  <mergeCells count="54"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30:C30"/>
    <mergeCell ref="A31:D31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6:B66"/>
    <mergeCell ref="A67:B67"/>
    <mergeCell ref="A62:B62"/>
    <mergeCell ref="A63:B63"/>
    <mergeCell ref="A64:B64"/>
    <mergeCell ref="A65:B65"/>
  </mergeCells>
  <printOptions/>
  <pageMargins left="0.75" right="0.75" top="1" bottom="1" header="0.5" footer="0.5"/>
  <pageSetup horizontalDpi="600" verticalDpi="600" orientation="portrait" paperSize="9" scale="91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e.pausheva</cp:lastModifiedBy>
  <cp:lastPrinted>2018-03-24T06:40:46Z</cp:lastPrinted>
  <dcterms:created xsi:type="dcterms:W3CDTF">1996-10-08T23:32:33Z</dcterms:created>
  <dcterms:modified xsi:type="dcterms:W3CDTF">2018-03-24T06:43:18Z</dcterms:modified>
  <cp:category/>
  <cp:version/>
  <cp:contentType/>
  <cp:contentStatus/>
</cp:coreProperties>
</file>